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y Projects\Tabletop\Vanguard Wargaming Scotland\Events\Saltire 2026\Match data\"/>
    </mc:Choice>
  </mc:AlternateContent>
  <xr:revisionPtr revIDLastSave="0" documentId="8_{590FA1F6-34FA-4235-BA41-29B990435C0E}" xr6:coauthVersionLast="47" xr6:coauthVersionMax="47" xr10:uidLastSave="{00000000-0000-0000-0000-000000000000}"/>
  <workbookProtection workbookAlgorithmName="SHA-512" workbookHashValue="cYPJOIOrDWJdSCU+zWBC4IlVylrkfYhPSjy66+XZzCLbeD8oYToK7ETCReiycHxJRljKAjhKaNg5OYgJP0xMoA==" workbookSaltValue="rcA8Djp1QnQlW6Sr5Xkhvw==" workbookSpinCount="100000" lockStructure="1"/>
  <bookViews>
    <workbookView xWindow="28680" yWindow="-120" windowWidth="29040" windowHeight="15720" tabRatio="613" firstSheet="2" activeTab="2" xr2:uid="{33630EA9-553A-4C48-AFE5-0DAD636C510C}"/>
  </bookViews>
  <sheets>
    <sheet name="data" sheetId="1" state="hidden" r:id="rId1"/>
    <sheet name="data_mod" sheetId="3" state="hidden" r:id="rId2"/>
    <sheet name="Landing" sheetId="10" r:id="rId3"/>
    <sheet name="Player-Force" sheetId="4" r:id="rId4"/>
    <sheet name="Player information" sheetId="2" r:id="rId5"/>
    <sheet name="Formation information" sheetId="5" r:id="rId6"/>
    <sheet name="Faction information" sheetId="7" r:id="rId7"/>
    <sheet name="Stance information" sheetId="8" r:id="rId8"/>
    <sheet name="Mission information" sheetId="9" r:id="rId9"/>
    <sheet name="Force information" sheetId="6" r:id="rId10"/>
    <sheet name="Stance picker" sheetId="11" r:id="rId11"/>
  </sheets>
  <definedNames>
    <definedName name="_xlnm._FilterDatabase" localSheetId="6" hidden="1">'Faction information'!$A$1:$M$1</definedName>
    <definedName name="_xlnm._FilterDatabase" localSheetId="9" hidden="1">'Force information'!$A$2:$AC$2</definedName>
    <definedName name="_xlnm._FilterDatabase" localSheetId="5" hidden="1">'Formation information'!$A$1:$R$1</definedName>
    <definedName name="_xlnm._FilterDatabase" localSheetId="8" hidden="1">'Mission information'!$A$2:$AC$2</definedName>
    <definedName name="_xlnm._FilterDatabase" localSheetId="4" hidden="1">'Player information'!$A$1:$K$1</definedName>
    <definedName name="_xlnm._FilterDatabase" localSheetId="3" hidden="1">'Player-Force'!$A$2:$K$2</definedName>
    <definedName name="_xlnm._FilterDatabase" localSheetId="7" hidden="1">'Stance information'!$A$1:$I$1</definedName>
    <definedName name="data">data!$A$1:$T$63</definedName>
    <definedName name="data_first">data_mod!$D$2:$D$63</definedName>
    <definedName name="data_mission">data_mod!$C$2:$C$63</definedName>
    <definedName name="data_name_a">data_mod!$I$2:$I$63</definedName>
    <definedName name="data_name_b">data_mod!$P$2:$P$63</definedName>
    <definedName name="data_outcome">data_mod!$E$2:$E$63</definedName>
    <definedName name="data_role_a">data_mod!$M$2:$M$63</definedName>
    <definedName name="data_role_b">data_mod!$T$2:$T$63</definedName>
    <definedName name="data_round">data_mod!$A$2:$A$63</definedName>
    <definedName name="data_score_a">data_mod!$L$2:$L$63</definedName>
    <definedName name="data_score_b">data_mod!$S$2:$S$63</definedName>
    <definedName name="data_stance_a">data_mod!$J$2:$J$63</definedName>
    <definedName name="data_stance_b">data_mod!$Q$2:$Q$63</definedName>
    <definedName name="data_turns">data_mod!$B$2:$B$63</definedName>
    <definedName name="data_units_a">data_mod!$K$2:$K$63</definedName>
    <definedName name="data_units_b">data_mod!$R$2:$R$63</definedName>
    <definedName name="data_winner">data_mod!$F$2:$F$63</definedName>
    <definedName name="player_force">'Player-Force'!$A$3:$K$28</definedName>
    <definedName name="player_type_a">data_mod!$AE$2:$AE$63</definedName>
    <definedName name="player_type_b">data_mod!$AF$2:$AF$63</definedName>
    <definedName name="type_1">'Player-Force'!$E$3:$E$28</definedName>
    <definedName name="type_2">'Player-Force'!$I$3:$I$28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F2" i="8" l="1" a="1"/>
  <c r="F2" i="8" s="1"/>
  <c r="E3" i="8" a="1"/>
  <c r="E3" i="8" s="1"/>
  <c r="E4" i="8" a="1"/>
  <c r="E4" i="8" s="1"/>
  <c r="E2" i="8" a="1"/>
  <c r="E2" i="8" s="1"/>
  <c r="D3" i="8" a="1"/>
  <c r="D3" i="8" s="1"/>
  <c r="D4" i="8" a="1"/>
  <c r="D4" i="8" s="1"/>
  <c r="D2" i="8" a="1"/>
  <c r="D2" i="8" s="1"/>
  <c r="C3" i="8" a="1"/>
  <c r="C3" i="8" s="1"/>
  <c r="C4" i="8" a="1"/>
  <c r="C4" i="8" s="1"/>
  <c r="C2" i="8" a="1"/>
  <c r="C2" i="8" s="1"/>
  <c r="B3" i="8" a="1"/>
  <c r="B3" i="8" s="1"/>
  <c r="B4" i="8" a="1"/>
  <c r="B4" i="8" s="1"/>
  <c r="B2" i="8" a="1"/>
  <c r="B2" i="8" s="1"/>
  <c r="E11" i="9" a="1"/>
  <c r="E11" i="9" s="1"/>
  <c r="E16" i="9" a="1"/>
  <c r="E16" i="9" s="1"/>
  <c r="E18" i="9" a="1"/>
  <c r="E18" i="9" s="1"/>
  <c r="E14" i="9" a="1"/>
  <c r="E14" i="9" s="1"/>
  <c r="E10" i="9" a="1"/>
  <c r="E10" i="9" s="1"/>
  <c r="E3" i="9" a="1"/>
  <c r="E3" i="9" s="1"/>
  <c r="E15" i="9" a="1"/>
  <c r="E15" i="9" s="1"/>
  <c r="E13" i="9" a="1"/>
  <c r="E13" i="9" s="1"/>
  <c r="E20" i="9" a="1"/>
  <c r="E20" i="9" s="1"/>
  <c r="E19" i="9" a="1"/>
  <c r="E19" i="9" s="1"/>
  <c r="E4" i="9" a="1"/>
  <c r="E4" i="9" s="1"/>
  <c r="E6" i="9" a="1"/>
  <c r="E6" i="9" s="1"/>
  <c r="E9" i="9" a="1"/>
  <c r="E9" i="9" s="1"/>
  <c r="E8" i="9" a="1"/>
  <c r="E8" i="9" s="1"/>
  <c r="E5" i="9" a="1"/>
  <c r="E5" i="9" s="1"/>
  <c r="E17" i="9" a="1"/>
  <c r="E17" i="9" s="1"/>
  <c r="E7" i="9" a="1"/>
  <c r="E7" i="9" s="1"/>
  <c r="E12" i="9" a="1"/>
  <c r="E12" i="9" s="1"/>
  <c r="T11" i="9" a="1"/>
  <c r="T11" i="9" s="1"/>
  <c r="T16" i="9" a="1"/>
  <c r="T16" i="9" s="1"/>
  <c r="T18" i="9" a="1"/>
  <c r="T18" i="9" s="1"/>
  <c r="T14" i="9" a="1"/>
  <c r="T14" i="9" s="1"/>
  <c r="T10" i="9" a="1"/>
  <c r="T10" i="9" s="1"/>
  <c r="T3" i="9" a="1"/>
  <c r="T3" i="9" s="1"/>
  <c r="T15" i="9" a="1"/>
  <c r="T15" i="9" s="1"/>
  <c r="T13" i="9" a="1"/>
  <c r="T13" i="9" s="1"/>
  <c r="T20" i="9" a="1"/>
  <c r="T20" i="9" s="1"/>
  <c r="T19" i="9" a="1"/>
  <c r="T19" i="9" s="1"/>
  <c r="T4" i="9" a="1"/>
  <c r="T4" i="9" s="1"/>
  <c r="T6" i="9" a="1"/>
  <c r="T6" i="9" s="1"/>
  <c r="T9" i="9" a="1"/>
  <c r="T9" i="9" s="1"/>
  <c r="T8" i="9" a="1"/>
  <c r="T8" i="9" s="1"/>
  <c r="T5" i="9" a="1"/>
  <c r="T5" i="9" s="1"/>
  <c r="T17" i="9" a="1"/>
  <c r="T17" i="9" s="1"/>
  <c r="T7" i="9" a="1"/>
  <c r="T7" i="9" s="1"/>
  <c r="T12" i="9" a="1"/>
  <c r="T12" i="9" s="1"/>
  <c r="H11" i="9" a="1"/>
  <c r="H11" i="9" s="1"/>
  <c r="H16" i="9" a="1"/>
  <c r="H16" i="9" s="1"/>
  <c r="H18" i="9" a="1"/>
  <c r="H18" i="9" s="1"/>
  <c r="H14" i="9" a="1"/>
  <c r="H14" i="9" s="1"/>
  <c r="H10" i="9" a="1"/>
  <c r="H10" i="9" s="1"/>
  <c r="H3" i="9" a="1"/>
  <c r="H3" i="9" s="1"/>
  <c r="H15" i="9" a="1"/>
  <c r="H15" i="9" s="1"/>
  <c r="H13" i="9" a="1"/>
  <c r="H13" i="9" s="1"/>
  <c r="H20" i="9" a="1"/>
  <c r="H20" i="9" s="1"/>
  <c r="H19" i="9" a="1"/>
  <c r="H19" i="9" s="1"/>
  <c r="H4" i="9" a="1"/>
  <c r="H4" i="9" s="1"/>
  <c r="H6" i="9" a="1"/>
  <c r="H6" i="9" s="1"/>
  <c r="H9" i="9" a="1"/>
  <c r="H9" i="9" s="1"/>
  <c r="H8" i="9" a="1"/>
  <c r="H8" i="9" s="1"/>
  <c r="H5" i="9" a="1"/>
  <c r="H5" i="9" s="1"/>
  <c r="H17" i="9" a="1"/>
  <c r="H17" i="9" s="1"/>
  <c r="H7" i="9" a="1"/>
  <c r="H7" i="9" s="1"/>
  <c r="H12" i="9" a="1"/>
  <c r="H12" i="9" s="1"/>
  <c r="S11" i="9" a="1"/>
  <c r="S11" i="9" s="1"/>
  <c r="S16" i="9" a="1"/>
  <c r="S16" i="9" s="1"/>
  <c r="S18" i="9" a="1"/>
  <c r="S18" i="9" s="1"/>
  <c r="S14" i="9" a="1"/>
  <c r="S14" i="9" s="1"/>
  <c r="S10" i="9" a="1"/>
  <c r="S10" i="9" s="1"/>
  <c r="S3" i="9" a="1"/>
  <c r="S3" i="9" s="1"/>
  <c r="S15" i="9" a="1"/>
  <c r="S15" i="9" s="1"/>
  <c r="S13" i="9" a="1"/>
  <c r="S13" i="9" s="1"/>
  <c r="S20" i="9" a="1"/>
  <c r="S20" i="9" s="1"/>
  <c r="S19" i="9" a="1"/>
  <c r="S19" i="9" s="1"/>
  <c r="S4" i="9" a="1"/>
  <c r="S4" i="9" s="1"/>
  <c r="S6" i="9" a="1"/>
  <c r="S6" i="9" s="1"/>
  <c r="S9" i="9" a="1"/>
  <c r="S9" i="9" s="1"/>
  <c r="S8" i="9" a="1"/>
  <c r="S8" i="9" s="1"/>
  <c r="S5" i="9" a="1"/>
  <c r="S5" i="9" s="1"/>
  <c r="S17" i="9" a="1"/>
  <c r="S17" i="9" s="1"/>
  <c r="S7" i="9" a="1"/>
  <c r="S7" i="9" s="1"/>
  <c r="S12" i="9" a="1"/>
  <c r="S12" i="9" s="1"/>
  <c r="G11" i="9" a="1"/>
  <c r="G11" i="9" s="1"/>
  <c r="G16" i="9" a="1"/>
  <c r="G16" i="9" s="1"/>
  <c r="G18" i="9" a="1"/>
  <c r="G18" i="9" s="1"/>
  <c r="G14" i="9" a="1"/>
  <c r="G14" i="9" s="1"/>
  <c r="G10" i="9" a="1"/>
  <c r="G10" i="9" s="1"/>
  <c r="G3" i="9" a="1"/>
  <c r="G3" i="9" s="1"/>
  <c r="G15" i="9" a="1"/>
  <c r="G15" i="9" s="1"/>
  <c r="G13" i="9" a="1"/>
  <c r="G13" i="9" s="1"/>
  <c r="G20" i="9" a="1"/>
  <c r="G20" i="9" s="1"/>
  <c r="G19" i="9" a="1"/>
  <c r="G19" i="9" s="1"/>
  <c r="G4" i="9" a="1"/>
  <c r="G4" i="9" s="1"/>
  <c r="G6" i="9" a="1"/>
  <c r="G6" i="9" s="1"/>
  <c r="G9" i="9" a="1"/>
  <c r="G9" i="9" s="1"/>
  <c r="G8" i="9" a="1"/>
  <c r="G8" i="9" s="1"/>
  <c r="G5" i="9" a="1"/>
  <c r="G5" i="9" s="1"/>
  <c r="G17" i="9" a="1"/>
  <c r="G17" i="9" s="1"/>
  <c r="G7" i="9" a="1"/>
  <c r="G7" i="9" s="1"/>
  <c r="G12" i="9" a="1"/>
  <c r="G12" i="9" s="1"/>
  <c r="R11" i="9" a="1"/>
  <c r="R11" i="9" s="1"/>
  <c r="R16" i="9" a="1"/>
  <c r="R16" i="9" s="1"/>
  <c r="R18" i="9" a="1"/>
  <c r="R18" i="9" s="1"/>
  <c r="R14" i="9" a="1"/>
  <c r="R14" i="9" s="1"/>
  <c r="R10" i="9" a="1"/>
  <c r="R10" i="9" s="1"/>
  <c r="R3" i="9" a="1"/>
  <c r="R3" i="9" s="1"/>
  <c r="R15" i="9" a="1"/>
  <c r="R15" i="9" s="1"/>
  <c r="R13" i="9" a="1"/>
  <c r="R13" i="9" s="1"/>
  <c r="R20" i="9" a="1"/>
  <c r="R20" i="9" s="1"/>
  <c r="R19" i="9" a="1"/>
  <c r="R19" i="9" s="1"/>
  <c r="R4" i="9" a="1"/>
  <c r="R4" i="9" s="1"/>
  <c r="R6" i="9" a="1"/>
  <c r="R6" i="9" s="1"/>
  <c r="R9" i="9" a="1"/>
  <c r="R9" i="9" s="1"/>
  <c r="R8" i="9" a="1"/>
  <c r="R8" i="9" s="1"/>
  <c r="R5" i="9" a="1"/>
  <c r="R5" i="9" s="1"/>
  <c r="R17" i="9" a="1"/>
  <c r="R17" i="9" s="1"/>
  <c r="R7" i="9" a="1"/>
  <c r="R7" i="9" s="1"/>
  <c r="F11" i="9" a="1"/>
  <c r="F11" i="9" s="1"/>
  <c r="F16" i="9" a="1"/>
  <c r="F16" i="9" s="1"/>
  <c r="F18" i="9" a="1"/>
  <c r="F18" i="9" s="1"/>
  <c r="F14" i="9" a="1"/>
  <c r="F14" i="9" s="1"/>
  <c r="F10" i="9" a="1"/>
  <c r="F10" i="9" s="1"/>
  <c r="F3" i="9" a="1"/>
  <c r="F3" i="9" s="1"/>
  <c r="F15" i="9" a="1"/>
  <c r="F15" i="9" s="1"/>
  <c r="F13" i="9" a="1"/>
  <c r="F13" i="9" s="1"/>
  <c r="F20" i="9" a="1"/>
  <c r="F20" i="9" s="1"/>
  <c r="F19" i="9" a="1"/>
  <c r="F19" i="9" s="1"/>
  <c r="F4" i="9" a="1"/>
  <c r="F4" i="9" s="1"/>
  <c r="F6" i="9" a="1"/>
  <c r="F6" i="9" s="1"/>
  <c r="F9" i="9" a="1"/>
  <c r="F9" i="9" s="1"/>
  <c r="F8" i="9" a="1"/>
  <c r="F8" i="9" s="1"/>
  <c r="F5" i="9" a="1"/>
  <c r="F5" i="9" s="1"/>
  <c r="F17" i="9" a="1"/>
  <c r="F17" i="9" s="1"/>
  <c r="F7" i="9" a="1"/>
  <c r="F7" i="9" s="1"/>
  <c r="R12" i="9" a="1"/>
  <c r="R12" i="9" s="1"/>
  <c r="F12" i="9" a="1"/>
  <c r="F12" i="9" s="1"/>
  <c r="D11" i="9" a="1"/>
  <c r="D11" i="9" s="1"/>
  <c r="D16" i="9" a="1"/>
  <c r="D16" i="9" s="1"/>
  <c r="D18" i="9" a="1"/>
  <c r="D18" i="9" s="1"/>
  <c r="D14" i="9" a="1"/>
  <c r="D14" i="9" s="1"/>
  <c r="D10" i="9" a="1"/>
  <c r="D10" i="9" s="1"/>
  <c r="D3" i="9" a="1"/>
  <c r="D3" i="9" s="1"/>
  <c r="D15" i="9" a="1"/>
  <c r="D15" i="9" s="1"/>
  <c r="D13" i="9" a="1"/>
  <c r="D13" i="9" s="1"/>
  <c r="D20" i="9" a="1"/>
  <c r="D20" i="9" s="1"/>
  <c r="D19" i="9" a="1"/>
  <c r="D19" i="9" s="1"/>
  <c r="D4" i="9" a="1"/>
  <c r="D4" i="9" s="1"/>
  <c r="D6" i="9" a="1"/>
  <c r="D6" i="9" s="1"/>
  <c r="D9" i="9" a="1"/>
  <c r="D9" i="9" s="1"/>
  <c r="D8" i="9" a="1"/>
  <c r="D8" i="9" s="1"/>
  <c r="D5" i="9" a="1"/>
  <c r="D5" i="9" s="1"/>
  <c r="D17" i="9" a="1"/>
  <c r="D17" i="9" s="1"/>
  <c r="D7" i="9" a="1"/>
  <c r="D7" i="9" s="1"/>
  <c r="D12" i="9" a="1"/>
  <c r="D12" i="9" s="1"/>
  <c r="B7" i="6" a="1"/>
  <c r="B7" i="6" s="1"/>
  <c r="B5" i="6" a="1"/>
  <c r="B5" i="6" s="1"/>
  <c r="B6" i="6" a="1"/>
  <c r="B6" i="6" s="1"/>
  <c r="B4" i="6" a="1"/>
  <c r="B4" i="6" s="1"/>
  <c r="B3" i="6" a="1"/>
  <c r="B3" i="6" s="1"/>
  <c r="B3" i="7" a="1"/>
  <c r="B3" i="7" s="1"/>
  <c r="B4" i="7" a="1"/>
  <c r="B4" i="7" s="1"/>
  <c r="B5" i="7" a="1"/>
  <c r="B5" i="7" s="1"/>
  <c r="B6" i="7" a="1"/>
  <c r="B6" i="7" s="1"/>
  <c r="B7" i="7" a="1"/>
  <c r="B7" i="7" s="1"/>
  <c r="B8" i="7" a="1"/>
  <c r="B8" i="7" s="1"/>
  <c r="B9" i="7" a="1"/>
  <c r="B9" i="7" s="1"/>
  <c r="B10" i="7" a="1"/>
  <c r="B10" i="7"/>
  <c r="B11" i="7" a="1"/>
  <c r="B11" i="7" s="1"/>
  <c r="B12" i="7" a="1"/>
  <c r="B12" i="7" s="1"/>
  <c r="B13" i="7" a="1"/>
  <c r="B13" i="7" s="1"/>
  <c r="B14" i="7" a="1"/>
  <c r="B14" i="7" s="1"/>
  <c r="B2" i="7" a="1"/>
  <c r="B2" i="7" s="1"/>
  <c r="B9" i="2"/>
  <c r="B25" i="2"/>
  <c r="B15" i="2"/>
  <c r="B10" i="2"/>
  <c r="B22" i="2"/>
  <c r="B26" i="2"/>
  <c r="B17" i="2"/>
  <c r="B23" i="2"/>
  <c r="B5" i="2"/>
  <c r="B19" i="2"/>
  <c r="B20" i="2"/>
  <c r="B12" i="2"/>
  <c r="B7" i="2"/>
  <c r="B13" i="2"/>
  <c r="B11" i="2"/>
  <c r="B2" i="2"/>
  <c r="B6" i="2"/>
  <c r="B21" i="2"/>
  <c r="B16" i="2"/>
  <c r="B18" i="2"/>
  <c r="B27" i="2"/>
  <c r="B4" i="2"/>
  <c r="B24" i="2"/>
  <c r="B14" i="2"/>
  <c r="B3" i="2"/>
  <c r="B8" i="2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A1" i="3" a="1"/>
  <c r="A1" i="3" s="1"/>
  <c r="U9" i="9" l="1"/>
  <c r="U12" i="9"/>
  <c r="U16" i="9"/>
  <c r="U4" i="9"/>
  <c r="U17" i="9"/>
  <c r="I8" i="9"/>
  <c r="U20" i="9"/>
  <c r="I3" i="9"/>
  <c r="I13" i="9"/>
  <c r="I14" i="9"/>
  <c r="U8" i="9"/>
  <c r="I17" i="9"/>
  <c r="U19" i="9"/>
  <c r="U6" i="9"/>
  <c r="U10" i="9"/>
  <c r="U14" i="9"/>
  <c r="U18" i="9"/>
  <c r="U5" i="9"/>
  <c r="U15" i="9"/>
  <c r="I20" i="9"/>
  <c r="I10" i="9"/>
  <c r="U7" i="9"/>
  <c r="U11" i="9"/>
  <c r="I18" i="9"/>
  <c r="U3" i="9"/>
  <c r="I16" i="9"/>
  <c r="I9" i="9"/>
  <c r="I5" i="9"/>
  <c r="I12" i="9"/>
  <c r="I4" i="9"/>
  <c r="U13" i="9"/>
  <c r="I19" i="9"/>
  <c r="I15" i="9"/>
  <c r="I7" i="9"/>
  <c r="I11" i="9"/>
  <c r="I6" i="9"/>
  <c r="C14" i="9" a="1"/>
  <c r="C14" i="9" s="1"/>
  <c r="C5" i="2" a="1"/>
  <c r="C5" i="2" s="1"/>
  <c r="C7" i="9" a="1"/>
  <c r="C7" i="9" s="1"/>
  <c r="C18" i="9" a="1"/>
  <c r="C18" i="9" s="1"/>
  <c r="C12" i="9" a="1"/>
  <c r="C12" i="9" s="1"/>
  <c r="C19" i="2" a="1"/>
  <c r="C19" i="2" s="1"/>
  <c r="C4" i="2" a="1"/>
  <c r="C4" i="2" s="1"/>
  <c r="C16" i="9" a="1"/>
  <c r="C16" i="9" s="1"/>
  <c r="C18" i="2" a="1"/>
  <c r="C18" i="2" s="1"/>
  <c r="C3" i="2" a="1"/>
  <c r="C3" i="2" s="1"/>
  <c r="C17" i="9" a="1"/>
  <c r="C17" i="9" s="1"/>
  <c r="C11" i="9" a="1"/>
  <c r="C11" i="9" s="1"/>
  <c r="C17" i="2" a="1"/>
  <c r="C17" i="2" s="1"/>
  <c r="C5" i="9" a="1"/>
  <c r="C5" i="9" s="1"/>
  <c r="C16" i="2" a="1"/>
  <c r="C16" i="2" s="1"/>
  <c r="G4" i="8" a="1"/>
  <c r="G4" i="8" s="1"/>
  <c r="C8" i="9" a="1"/>
  <c r="C8" i="9" s="1"/>
  <c r="C6" i="2" a="1"/>
  <c r="C6" i="2" s="1"/>
  <c r="F3" i="8" a="1"/>
  <c r="F3" i="8" s="1"/>
  <c r="C9" i="9" a="1"/>
  <c r="C9" i="9" s="1"/>
  <c r="C20" i="2" a="1"/>
  <c r="C20" i="2" s="1"/>
  <c r="C14" i="2" a="1"/>
  <c r="C14" i="2" s="1"/>
  <c r="C6" i="9" a="1"/>
  <c r="C6" i="9" s="1"/>
  <c r="U2" i="3" a="1"/>
  <c r="U2" i="3" s="1"/>
  <c r="C2" i="2" a="1"/>
  <c r="C2" i="2" s="1"/>
  <c r="C13" i="2" a="1"/>
  <c r="C13" i="2" s="1"/>
  <c r="C4" i="9" a="1"/>
  <c r="C4" i="9" s="1"/>
  <c r="V2" i="3" a="1"/>
  <c r="V2" i="3" s="1"/>
  <c r="C27" i="2" a="1"/>
  <c r="C27" i="2" s="1"/>
  <c r="C12" i="2" a="1"/>
  <c r="C12" i="2" s="1"/>
  <c r="C19" i="9" a="1"/>
  <c r="C19" i="9" s="1"/>
  <c r="C15" i="2" a="1"/>
  <c r="C15" i="2" s="1"/>
  <c r="C26" i="2" a="1"/>
  <c r="C26" i="2" s="1"/>
  <c r="C11" i="2" a="1"/>
  <c r="C11" i="2" s="1"/>
  <c r="C20" i="9" a="1"/>
  <c r="C20" i="9" s="1"/>
  <c r="C25" i="2" a="1"/>
  <c r="C25" i="2" s="1"/>
  <c r="C24" i="2" a="1"/>
  <c r="C24" i="2" s="1"/>
  <c r="C13" i="9" a="1"/>
  <c r="C13" i="9" s="1"/>
  <c r="C10" i="2" a="1"/>
  <c r="C10" i="2" s="1"/>
  <c r="C23" i="2" a="1"/>
  <c r="C23" i="2" s="1"/>
  <c r="C9" i="2" a="1"/>
  <c r="C9" i="2" s="1"/>
  <c r="C15" i="9" a="1"/>
  <c r="C15" i="9" s="1"/>
  <c r="C22" i="2" a="1"/>
  <c r="C22" i="2" s="1"/>
  <c r="C8" i="2" a="1"/>
  <c r="C8" i="2" s="1"/>
  <c r="C3" i="9" a="1"/>
  <c r="C3" i="9" s="1"/>
  <c r="C21" i="2" a="1"/>
  <c r="C21" i="2" s="1"/>
  <c r="C7" i="2" a="1"/>
  <c r="C7" i="2" s="1"/>
  <c r="C10" i="9" a="1"/>
  <c r="C10" i="9" s="1"/>
  <c r="D27" i="2" a="1"/>
  <c r="D27" i="2" s="1"/>
  <c r="D16" i="2" a="1"/>
  <c r="D16" i="2" s="1"/>
  <c r="D22" i="2" a="1"/>
  <c r="D22" i="2" s="1"/>
  <c r="D15" i="2" a="1"/>
  <c r="D15" i="2" s="1"/>
  <c r="D25" i="2" a="1"/>
  <c r="D25" i="2" s="1"/>
  <c r="D21" i="2" a="1"/>
  <c r="D21" i="2" s="1"/>
  <c r="E2" i="2" a="1"/>
  <c r="E2" i="2" s="1"/>
  <c r="E13" i="2" a="1"/>
  <c r="E13" i="2" s="1"/>
  <c r="E7" i="2" a="1"/>
  <c r="E7" i="2" s="1"/>
  <c r="E9" i="2" a="1"/>
  <c r="E9" i="2" s="1"/>
  <c r="F3" i="2" a="1"/>
  <c r="F3" i="2" s="1"/>
  <c r="F20" i="2" a="1"/>
  <c r="F20" i="2" s="1"/>
  <c r="F5" i="2" a="1"/>
  <c r="F5" i="2" s="1"/>
  <c r="F23" i="2" a="1"/>
  <c r="F23" i="2" s="1"/>
  <c r="D12" i="2" a="1"/>
  <c r="D12" i="2" s="1"/>
  <c r="E4" i="2" a="1"/>
  <c r="E4" i="2" s="1"/>
  <c r="E23" i="2" a="1"/>
  <c r="E23" i="2" s="1"/>
  <c r="F21" i="2" a="1"/>
  <c r="F21" i="2" s="1"/>
  <c r="F25" i="2" a="1"/>
  <c r="F25" i="2" s="1"/>
  <c r="D20" i="2" a="1"/>
  <c r="D20" i="2" s="1"/>
  <c r="E27" i="2" a="1"/>
  <c r="E27" i="2" s="1"/>
  <c r="E17" i="2" a="1"/>
  <c r="E17" i="2" s="1"/>
  <c r="F6" i="2" a="1"/>
  <c r="F6" i="2" s="1"/>
  <c r="F9" i="2" a="1"/>
  <c r="F9" i="2" s="1"/>
  <c r="D19" i="2" a="1"/>
  <c r="D19" i="2" s="1"/>
  <c r="E26" i="2" a="1"/>
  <c r="E26" i="2" s="1"/>
  <c r="D8" i="2" a="1"/>
  <c r="D8" i="2" s="1"/>
  <c r="E18" i="2" a="1"/>
  <c r="E18" i="2" s="1"/>
  <c r="F2" i="2" a="1"/>
  <c r="F2" i="2" s="1"/>
  <c r="D3" i="2" a="1"/>
  <c r="D3" i="2" s="1"/>
  <c r="D5" i="2" a="1"/>
  <c r="D5" i="2" s="1"/>
  <c r="E16" i="2" a="1"/>
  <c r="E16" i="2" s="1"/>
  <c r="E22" i="2" a="1"/>
  <c r="E22" i="2" s="1"/>
  <c r="F11" i="2" a="1"/>
  <c r="F11" i="2" s="1"/>
  <c r="D14" i="2" a="1"/>
  <c r="D14" i="2" s="1"/>
  <c r="E21" i="2" a="1"/>
  <c r="E21" i="2" s="1"/>
  <c r="F13" i="2" a="1"/>
  <c r="F13" i="2" s="1"/>
  <c r="D24" i="2" a="1"/>
  <c r="D24" i="2" s="1"/>
  <c r="D17" i="2" a="1"/>
  <c r="D17" i="2" s="1"/>
  <c r="E6" i="2" a="1"/>
  <c r="E6" i="2" s="1"/>
  <c r="E15" i="2" a="1"/>
  <c r="E15" i="2" s="1"/>
  <c r="F7" i="2" a="1"/>
  <c r="F7" i="2" s="1"/>
  <c r="D23" i="2" a="1"/>
  <c r="D23" i="2" s="1"/>
  <c r="E10" i="2" a="1"/>
  <c r="E10" i="2" s="1"/>
  <c r="D4" i="2" a="1"/>
  <c r="D4" i="2" s="1"/>
  <c r="D26" i="2" a="1"/>
  <c r="D26" i="2" s="1"/>
  <c r="E25" i="2" a="1"/>
  <c r="E25" i="2" s="1"/>
  <c r="F12" i="2" a="1"/>
  <c r="F12" i="2" s="1"/>
  <c r="D18" i="2" a="1"/>
  <c r="D18" i="2" s="1"/>
  <c r="D10" i="2" a="1"/>
  <c r="D10" i="2" s="1"/>
  <c r="E11" i="2" a="1"/>
  <c r="E11" i="2" s="1"/>
  <c r="F8" i="2" a="1"/>
  <c r="F8" i="2" s="1"/>
  <c r="F19" i="2" a="1"/>
  <c r="F19" i="2" s="1"/>
  <c r="F14" i="2" a="1"/>
  <c r="F14" i="2" s="1"/>
  <c r="D6" i="2" a="1"/>
  <c r="D6" i="2" s="1"/>
  <c r="D9" i="2" a="1"/>
  <c r="D9" i="2" s="1"/>
  <c r="E12" i="2" a="1"/>
  <c r="E12" i="2" s="1"/>
  <c r="F24" i="2" a="1"/>
  <c r="F24" i="2" s="1"/>
  <c r="F17" i="2" a="1"/>
  <c r="F17" i="2" s="1"/>
  <c r="E8" i="2" a="1"/>
  <c r="E8" i="2" s="1"/>
  <c r="F4" i="2" a="1"/>
  <c r="F4" i="2" s="1"/>
  <c r="D11" i="2" a="1"/>
  <c r="D11" i="2" s="1"/>
  <c r="E3" i="2" a="1"/>
  <c r="E3" i="2" s="1"/>
  <c r="E19" i="2" a="1"/>
  <c r="E19" i="2" s="1"/>
  <c r="F27" i="2" a="1"/>
  <c r="F27" i="2" s="1"/>
  <c r="F22" i="2" a="1"/>
  <c r="F22" i="2" s="1"/>
  <c r="D2" i="2" a="1"/>
  <c r="D2" i="2" s="1"/>
  <c r="F26" i="2" a="1"/>
  <c r="F26" i="2" s="1"/>
  <c r="D13" i="2" a="1"/>
  <c r="D13" i="2" s="1"/>
  <c r="E14" i="2" a="1"/>
  <c r="E14" i="2" s="1"/>
  <c r="E5" i="2" a="1"/>
  <c r="E5" i="2" s="1"/>
  <c r="F18" i="2" a="1"/>
  <c r="F18" i="2" s="1"/>
  <c r="F10" i="2" a="1"/>
  <c r="F10" i="2" s="1"/>
  <c r="E20" i="2" a="1"/>
  <c r="E20" i="2" s="1"/>
  <c r="D7" i="2" a="1"/>
  <c r="D7" i="2" s="1"/>
  <c r="E24" i="2" a="1"/>
  <c r="E24" i="2" s="1"/>
  <c r="F16" i="2" a="1"/>
  <c r="F16" i="2" s="1"/>
  <c r="F15" i="2" a="1"/>
  <c r="F15" i="2" s="1"/>
  <c r="B31" i="5" a="1"/>
  <c r="B31" i="5" s="1"/>
  <c r="B10" i="5" a="1"/>
  <c r="B10" i="5" s="1"/>
  <c r="B26" i="5" a="1"/>
  <c r="B26" i="5" s="1"/>
  <c r="B11" i="5" a="1"/>
  <c r="B11" i="5" s="1"/>
  <c r="B27" i="5" a="1"/>
  <c r="B27" i="5" s="1"/>
  <c r="B12" i="5" a="1"/>
  <c r="B12" i="5" s="1"/>
  <c r="B28" i="5" a="1"/>
  <c r="B28" i="5" s="1"/>
  <c r="B13" i="5" a="1"/>
  <c r="B13" i="5" s="1"/>
  <c r="B29" i="5" a="1"/>
  <c r="B29" i="5" s="1"/>
  <c r="B14" i="5" a="1"/>
  <c r="B14" i="5" s="1"/>
  <c r="B30" i="5" a="1"/>
  <c r="B30" i="5" s="1"/>
  <c r="B15" i="5" a="1"/>
  <c r="B15" i="5" s="1"/>
  <c r="B16" i="5" a="1"/>
  <c r="B16" i="5" s="1"/>
  <c r="B25" i="5" a="1"/>
  <c r="B25" i="5" s="1"/>
  <c r="B9" i="5" a="1"/>
  <c r="B9" i="5" s="1"/>
  <c r="B23" i="5" a="1"/>
  <c r="B23" i="5" s="1"/>
  <c r="B8" i="5" a="1"/>
  <c r="B8" i="5" s="1"/>
  <c r="B24" i="5" a="1"/>
  <c r="B24" i="5" s="1"/>
  <c r="B22" i="5" a="1"/>
  <c r="B22" i="5" s="1"/>
  <c r="B7" i="5" a="1"/>
  <c r="B7" i="5" s="1"/>
  <c r="B21" i="5" a="1"/>
  <c r="B21" i="5" s="1"/>
  <c r="B6" i="5" a="1"/>
  <c r="B6" i="5" s="1"/>
  <c r="B20" i="5" a="1"/>
  <c r="B20" i="5" s="1"/>
  <c r="B5" i="5" a="1"/>
  <c r="B5" i="5" s="1"/>
  <c r="B19" i="5" a="1"/>
  <c r="B19" i="5" s="1"/>
  <c r="B4" i="5" a="1"/>
  <c r="B4" i="5" s="1"/>
  <c r="B3" i="5" a="1"/>
  <c r="B3" i="5" s="1"/>
  <c r="B18" i="5" a="1"/>
  <c r="B18" i="5" s="1"/>
  <c r="B17" i="5" a="1"/>
  <c r="B17" i="5" s="1"/>
  <c r="X2" i="3" l="1"/>
  <c r="AF2" i="3" s="1"/>
  <c r="H3" i="8" a="1"/>
  <c r="H3" i="8" s="1"/>
  <c r="G3" i="8" a="1"/>
  <c r="G3" i="8" s="1"/>
  <c r="H4" i="8" a="1"/>
  <c r="H4" i="8" s="1"/>
  <c r="I4" i="8" s="1"/>
  <c r="H2" i="8" a="1"/>
  <c r="H2" i="8" s="1"/>
  <c r="W2" i="3"/>
  <c r="AE2" i="3" s="1"/>
  <c r="W10" i="3"/>
  <c r="W7" i="3"/>
  <c r="AE7" i="3" s="1"/>
  <c r="X40" i="3"/>
  <c r="AF40" i="3" s="1"/>
  <c r="W37" i="3"/>
  <c r="X56" i="3"/>
  <c r="AF56" i="3" s="1"/>
  <c r="W51" i="3"/>
  <c r="X63" i="3"/>
  <c r="AF63" i="3" s="1"/>
  <c r="W35" i="3"/>
  <c r="W16" i="3"/>
  <c r="AE16" i="3" s="1"/>
  <c r="F4" i="8" a="1"/>
  <c r="F4" i="8" s="1"/>
  <c r="W23" i="3"/>
  <c r="AE23" i="3" s="1"/>
  <c r="W17" i="3"/>
  <c r="AE17" i="3" s="1"/>
  <c r="W46" i="3"/>
  <c r="AE46" i="3" s="1"/>
  <c r="W39" i="3"/>
  <c r="AE39" i="3" s="1"/>
  <c r="W26" i="3"/>
  <c r="AE26" i="3" s="1"/>
  <c r="W62" i="3"/>
  <c r="AE62" i="3" s="1"/>
  <c r="W55" i="3"/>
  <c r="X41" i="3"/>
  <c r="AF41" i="3" s="1"/>
  <c r="X39" i="3"/>
  <c r="AF39" i="3" s="1"/>
  <c r="W42" i="3"/>
  <c r="AE42" i="3" s="1"/>
  <c r="X60" i="3"/>
  <c r="AF60" i="3" s="1"/>
  <c r="X44" i="3"/>
  <c r="AF44" i="3" s="1"/>
  <c r="X26" i="3"/>
  <c r="AF26" i="3" s="1"/>
  <c r="G2" i="8" a="1"/>
  <c r="G2" i="8" s="1"/>
  <c r="I2" i="8" s="1"/>
  <c r="X6" i="3"/>
  <c r="AF6" i="3" s="1"/>
  <c r="X57" i="3"/>
  <c r="AF57" i="3" s="1"/>
  <c r="W9" i="3"/>
  <c r="AE9" i="3" s="1"/>
  <c r="W58" i="3"/>
  <c r="AE58" i="3" s="1"/>
  <c r="W29" i="3"/>
  <c r="AE29" i="3" s="1"/>
  <c r="X10" i="3"/>
  <c r="AF10" i="3" s="1"/>
  <c r="W13" i="3"/>
  <c r="AE13" i="3" s="1"/>
  <c r="X49" i="3"/>
  <c r="AF49" i="3" s="1"/>
  <c r="X25" i="3"/>
  <c r="AF25" i="3" s="1"/>
  <c r="X22" i="3"/>
  <c r="AF22" i="3" s="1"/>
  <c r="X34" i="3"/>
  <c r="AF34" i="3" s="1"/>
  <c r="W36" i="3"/>
  <c r="AE36" i="3" s="1"/>
  <c r="X7" i="3"/>
  <c r="AF7" i="3" s="1"/>
  <c r="X18" i="3"/>
  <c r="AF18" i="3" s="1"/>
  <c r="W11" i="3"/>
  <c r="AE11" i="3" s="1"/>
  <c r="W41" i="3"/>
  <c r="AE41" i="3" s="1"/>
  <c r="W52" i="3"/>
  <c r="AE52" i="3" s="1"/>
  <c r="W18" i="3"/>
  <c r="AE18" i="3" s="1"/>
  <c r="X38" i="3"/>
  <c r="AF38" i="3" s="1"/>
  <c r="W27" i="3"/>
  <c r="AE27" i="3" s="1"/>
  <c r="X4" i="3"/>
  <c r="AF4" i="3" s="1"/>
  <c r="X48" i="3"/>
  <c r="AF48" i="3" s="1"/>
  <c r="W3" i="3"/>
  <c r="AE3" i="3" s="1"/>
  <c r="X15" i="3"/>
  <c r="AF15" i="3" s="1"/>
  <c r="W48" i="3"/>
  <c r="AE48" i="3" s="1"/>
  <c r="X54" i="3"/>
  <c r="AF54" i="3" s="1"/>
  <c r="W43" i="3"/>
  <c r="X20" i="3"/>
  <c r="AF20" i="3" s="1"/>
  <c r="X31" i="3"/>
  <c r="AF31" i="3" s="1"/>
  <c r="W33" i="3"/>
  <c r="AE33" i="3" s="1"/>
  <c r="X45" i="3"/>
  <c r="AF45" i="3" s="1"/>
  <c r="X27" i="3"/>
  <c r="AF27" i="3" s="1"/>
  <c r="W8" i="3"/>
  <c r="AE8" i="3" s="1"/>
  <c r="W59" i="3"/>
  <c r="AE59" i="3" s="1"/>
  <c r="X36" i="3"/>
  <c r="AF36" i="3" s="1"/>
  <c r="X61" i="3"/>
  <c r="AF61" i="3" s="1"/>
  <c r="W63" i="3"/>
  <c r="AE63" i="3" s="1"/>
  <c r="W14" i="3"/>
  <c r="AE14" i="3" s="1"/>
  <c r="X50" i="3"/>
  <c r="AF50" i="3" s="1"/>
  <c r="X30" i="3"/>
  <c r="AF30" i="3" s="1"/>
  <c r="W24" i="3"/>
  <c r="AE24" i="3" s="1"/>
  <c r="X11" i="3"/>
  <c r="AF11" i="3" s="1"/>
  <c r="X52" i="3"/>
  <c r="AF52" i="3" s="1"/>
  <c r="X28" i="3"/>
  <c r="AF28" i="3" s="1"/>
  <c r="W30" i="3"/>
  <c r="X12" i="3"/>
  <c r="AF12" i="3" s="1"/>
  <c r="W44" i="3"/>
  <c r="AE44" i="3" s="1"/>
  <c r="W19" i="3"/>
  <c r="AE19" i="3" s="1"/>
  <c r="W47" i="3"/>
  <c r="AE47" i="3" s="1"/>
  <c r="W40" i="3"/>
  <c r="X3" i="3"/>
  <c r="AF3" i="3" s="1"/>
  <c r="W6" i="3"/>
  <c r="AE6" i="3" s="1"/>
  <c r="X58" i="3"/>
  <c r="AF58" i="3" s="1"/>
  <c r="W60" i="3"/>
  <c r="X42" i="3"/>
  <c r="AF42" i="3" s="1"/>
  <c r="X16" i="3"/>
  <c r="AF16" i="3" s="1"/>
  <c r="W49" i="3"/>
  <c r="AE49" i="3" s="1"/>
  <c r="W56" i="3"/>
  <c r="X19" i="3"/>
  <c r="AF19" i="3" s="1"/>
  <c r="W22" i="3"/>
  <c r="W20" i="3"/>
  <c r="X32" i="3"/>
  <c r="AF32" i="3" s="1"/>
  <c r="W4" i="3"/>
  <c r="AE4" i="3" s="1"/>
  <c r="X46" i="3"/>
  <c r="AF46" i="3" s="1"/>
  <c r="X5" i="3"/>
  <c r="AF5" i="3" s="1"/>
  <c r="X23" i="3"/>
  <c r="AF23" i="3" s="1"/>
  <c r="X35" i="3"/>
  <c r="AF35" i="3" s="1"/>
  <c r="W38" i="3"/>
  <c r="AE38" i="3" s="1"/>
  <c r="W50" i="3"/>
  <c r="X62" i="3"/>
  <c r="AF62" i="3" s="1"/>
  <c r="W34" i="3"/>
  <c r="AE34" i="3" s="1"/>
  <c r="W15" i="3"/>
  <c r="X9" i="3"/>
  <c r="AF9" i="3" s="1"/>
  <c r="W53" i="3"/>
  <c r="W32" i="3"/>
  <c r="AE32" i="3" s="1"/>
  <c r="X21" i="3"/>
  <c r="AF21" i="3" s="1"/>
  <c r="X55" i="3"/>
  <c r="AF55" i="3" s="1"/>
  <c r="X51" i="3"/>
  <c r="AF51" i="3" s="1"/>
  <c r="W54" i="3"/>
  <c r="X29" i="3"/>
  <c r="AF29" i="3" s="1"/>
  <c r="W31" i="3"/>
  <c r="X13" i="3"/>
  <c r="AF13" i="3" s="1"/>
  <c r="W45" i="3"/>
  <c r="X37" i="3"/>
  <c r="AF37" i="3" s="1"/>
  <c r="W25" i="3"/>
  <c r="W5" i="3"/>
  <c r="AE5" i="3" s="1"/>
  <c r="X8" i="3"/>
  <c r="AF8" i="3" s="1"/>
  <c r="X59" i="3"/>
  <c r="AF59" i="3" s="1"/>
  <c r="W61" i="3"/>
  <c r="AE61" i="3" s="1"/>
  <c r="X43" i="3"/>
  <c r="AF43" i="3" s="1"/>
  <c r="X17" i="3"/>
  <c r="AF17" i="3" s="1"/>
  <c r="X14" i="3"/>
  <c r="AF14" i="3" s="1"/>
  <c r="X53" i="3"/>
  <c r="AF53" i="3" s="1"/>
  <c r="W57" i="3"/>
  <c r="W21" i="3"/>
  <c r="X24" i="3"/>
  <c r="AF24" i="3" s="1"/>
  <c r="W28" i="3"/>
  <c r="X33" i="3"/>
  <c r="AF33" i="3" s="1"/>
  <c r="W12" i="3"/>
  <c r="AE12" i="3" s="1"/>
  <c r="X47" i="3"/>
  <c r="AF47" i="3" s="1"/>
  <c r="AA47" i="3" a="1"/>
  <c r="AA47" i="3" s="1"/>
  <c r="Y47" i="3" a="1"/>
  <c r="Y47" i="3" s="1"/>
  <c r="AA46" i="3" a="1"/>
  <c r="AA46" i="3" s="1"/>
  <c r="Y46" i="3" a="1"/>
  <c r="Y46" i="3" s="1"/>
  <c r="AA29" i="3" a="1"/>
  <c r="AA29" i="3" s="1"/>
  <c r="Y29" i="3" a="1"/>
  <c r="Y29" i="3" s="1"/>
  <c r="AB3" i="3" a="1"/>
  <c r="AB3" i="3" s="1"/>
  <c r="Z3" i="3" a="1"/>
  <c r="Z3" i="3" s="1"/>
  <c r="AB23" i="3" a="1"/>
  <c r="AB23" i="3" s="1"/>
  <c r="Z23" i="3" a="1"/>
  <c r="Z23" i="3" s="1"/>
  <c r="Y23" i="3" a="1"/>
  <c r="Y23" i="3" s="1"/>
  <c r="AA23" i="3" a="1"/>
  <c r="AA23" i="3" s="1"/>
  <c r="Y10" i="3" a="1"/>
  <c r="Y10" i="3" s="1"/>
  <c r="AA26" i="3" a="1"/>
  <c r="AA26" i="3" s="1"/>
  <c r="Y26" i="3" a="1"/>
  <c r="Y26" i="3" s="1"/>
  <c r="Y39" i="3" a="1"/>
  <c r="Y39" i="3" s="1"/>
  <c r="AA39" i="3" a="1"/>
  <c r="AA39" i="3" s="1"/>
  <c r="AB57" i="3" a="1"/>
  <c r="AB57" i="3" s="1"/>
  <c r="Z57" i="3" a="1"/>
  <c r="Z57" i="3" s="1"/>
  <c r="Y9" i="3" a="1"/>
  <c r="Y9" i="3" s="1"/>
  <c r="AA9" i="3" a="1"/>
  <c r="AA9" i="3" s="1"/>
  <c r="AA58" i="3" a="1"/>
  <c r="AA58" i="3" s="1"/>
  <c r="Y58" i="3" a="1"/>
  <c r="Y58" i="3" s="1"/>
  <c r="AB38" i="3" a="1"/>
  <c r="AB38" i="3" s="1"/>
  <c r="Z38" i="3" a="1"/>
  <c r="Z38" i="3" s="1"/>
  <c r="AA27" i="3" a="1"/>
  <c r="AA27" i="3" s="1"/>
  <c r="Y27" i="3" a="1"/>
  <c r="Y27" i="3" s="1"/>
  <c r="AB4" i="3" a="1"/>
  <c r="AB4" i="3" s="1"/>
  <c r="Z4" i="3" a="1"/>
  <c r="Z4" i="3" s="1"/>
  <c r="Y8" i="3" a="1"/>
  <c r="Y8" i="3" s="1"/>
  <c r="AA8" i="3" a="1"/>
  <c r="AA8" i="3" s="1"/>
  <c r="Y59" i="3" a="1"/>
  <c r="Y59" i="3" s="1"/>
  <c r="AA59" i="3" a="1"/>
  <c r="AA59" i="3" s="1"/>
  <c r="AB36" i="3" a="1"/>
  <c r="AB36" i="3" s="1"/>
  <c r="Z36" i="3" a="1"/>
  <c r="Z36" i="3" s="1"/>
  <c r="G11" i="2"/>
  <c r="G13" i="2"/>
  <c r="G6" i="2"/>
  <c r="G9" i="2"/>
  <c r="G7" i="2"/>
  <c r="G23" i="2"/>
  <c r="G2" i="2"/>
  <c r="G22" i="2"/>
  <c r="G16" i="2"/>
  <c r="G27" i="2"/>
  <c r="G15" i="2"/>
  <c r="G4" i="2"/>
  <c r="G8" i="2"/>
  <c r="G20" i="2"/>
  <c r="G26" i="2"/>
  <c r="G14" i="2"/>
  <c r="G10" i="2"/>
  <c r="G18" i="2"/>
  <c r="G21" i="2"/>
  <c r="G19" i="2"/>
  <c r="G25" i="2"/>
  <c r="G12" i="2"/>
  <c r="G17" i="2"/>
  <c r="G5" i="2"/>
  <c r="G24" i="2"/>
  <c r="G3" i="2"/>
  <c r="B2" i="5" a="1"/>
  <c r="B2" i="5" s="1"/>
  <c r="AB13" i="3" l="1" a="1"/>
  <c r="AB13" i="3" s="1"/>
  <c r="AA21" i="3" a="1"/>
  <c r="AA21" i="3" s="1"/>
  <c r="AE21" i="3"/>
  <c r="Y54" i="3" a="1"/>
  <c r="Y54" i="3" s="1"/>
  <c r="AE54" i="3"/>
  <c r="AA57" i="3" a="1"/>
  <c r="AA57" i="3" s="1"/>
  <c r="AE57" i="3"/>
  <c r="Y51" i="3" a="1"/>
  <c r="Y51" i="3" s="1"/>
  <c r="AE51" i="3"/>
  <c r="Y20" i="3" a="1"/>
  <c r="Y20" i="3" s="1"/>
  <c r="AE20" i="3"/>
  <c r="Y30" i="3" a="1"/>
  <c r="Y30" i="3" s="1"/>
  <c r="AE30" i="3"/>
  <c r="AA22" i="3" a="1"/>
  <c r="AA22" i="3" s="1"/>
  <c r="AE22" i="3"/>
  <c r="L5" i="6" s="1" a="1"/>
  <c r="L5" i="6" s="1"/>
  <c r="Y37" i="3" a="1"/>
  <c r="Y37" i="3" s="1"/>
  <c r="AE37" i="3"/>
  <c r="AB29" i="3" a="1"/>
  <c r="AB29" i="3" s="1"/>
  <c r="AA43" i="3" a="1"/>
  <c r="AA43" i="3" s="1"/>
  <c r="AE43" i="3"/>
  <c r="AA53" i="3" a="1"/>
  <c r="AA53" i="3" s="1"/>
  <c r="AE53" i="3"/>
  <c r="AA56" i="3" a="1"/>
  <c r="AA56" i="3" s="1"/>
  <c r="AE56" i="3"/>
  <c r="AA55" i="3" a="1"/>
  <c r="AA55" i="3" s="1"/>
  <c r="AE55" i="3"/>
  <c r="AA10" i="3" a="1"/>
  <c r="AA10" i="3" s="1"/>
  <c r="AE10" i="3"/>
  <c r="AA15" i="3" a="1"/>
  <c r="AA15" i="3" s="1"/>
  <c r="AE15" i="3"/>
  <c r="Z2" i="3" a="1"/>
  <c r="Z2" i="3" s="1"/>
  <c r="AB2" i="3" a="1"/>
  <c r="AB2" i="3" s="1"/>
  <c r="Y60" i="3" a="1"/>
  <c r="Y60" i="3" s="1"/>
  <c r="AE60" i="3"/>
  <c r="V14" i="9" a="1"/>
  <c r="V14" i="9" s="1"/>
  <c r="AA25" i="3" a="1"/>
  <c r="AA25" i="3" s="1"/>
  <c r="AE25" i="3"/>
  <c r="AA50" i="3" a="1"/>
  <c r="AA50" i="3" s="1"/>
  <c r="AE50" i="3"/>
  <c r="Z56" i="3" a="1"/>
  <c r="Z56" i="3" s="1"/>
  <c r="Z24" i="3" a="1"/>
  <c r="Z24" i="3" s="1"/>
  <c r="Y45" i="3" a="1"/>
  <c r="Y45" i="3" s="1"/>
  <c r="AE45" i="3"/>
  <c r="Y21" i="3" a="1"/>
  <c r="Y21" i="3" s="1"/>
  <c r="Y40" i="3" a="1"/>
  <c r="Y40" i="3" s="1"/>
  <c r="AE40" i="3"/>
  <c r="AA54" i="3" a="1"/>
  <c r="AA54" i="3" s="1"/>
  <c r="AA28" i="3" a="1"/>
  <c r="AA28" i="3" s="1"/>
  <c r="AE28" i="3"/>
  <c r="K11" i="9" s="1" a="1"/>
  <c r="K11" i="9" s="1"/>
  <c r="Y31" i="3" a="1"/>
  <c r="Y31" i="3" s="1"/>
  <c r="AE31" i="3"/>
  <c r="Y35" i="3" a="1"/>
  <c r="Y35" i="3" s="1"/>
  <c r="AE35" i="3"/>
  <c r="Z48" i="3" a="1"/>
  <c r="Z48" i="3" s="1"/>
  <c r="AB50" i="3" a="1"/>
  <c r="AB50" i="3" s="1"/>
  <c r="Z25" i="3" a="1"/>
  <c r="Z25" i="3" s="1"/>
  <c r="Z37" i="3" a="1"/>
  <c r="Z37" i="3" s="1"/>
  <c r="AB58" i="3" a="1"/>
  <c r="AB58" i="3" s="1"/>
  <c r="Z58" i="3" a="1"/>
  <c r="Z58" i="3" s="1"/>
  <c r="Z13" i="3" a="1"/>
  <c r="Z13" i="3" s="1"/>
  <c r="AA60" i="3" a="1"/>
  <c r="AA60" i="3" s="1"/>
  <c r="AB24" i="3" a="1"/>
  <c r="AB24" i="3" s="1"/>
  <c r="Z29" i="3" a="1"/>
  <c r="Z29" i="3" s="1"/>
  <c r="AB46" i="3" a="1"/>
  <c r="AB46" i="3" s="1"/>
  <c r="AB6" i="3" a="1"/>
  <c r="AB6" i="3" s="1"/>
  <c r="AB8" i="3" a="1"/>
  <c r="AB8" i="3" s="1"/>
  <c r="Y50" i="3" a="1"/>
  <c r="Y50" i="3" s="1"/>
  <c r="Y55" i="3" a="1"/>
  <c r="Y55" i="3" s="1"/>
  <c r="Y25" i="3" a="1"/>
  <c r="Y25" i="3" s="1"/>
  <c r="AB53" i="3" a="1"/>
  <c r="AB53" i="3" s="1"/>
  <c r="AB32" i="3" a="1"/>
  <c r="AB32" i="3" s="1"/>
  <c r="AB31" i="3" a="1"/>
  <c r="AB31" i="3" s="1"/>
  <c r="Z7" i="3" a="1"/>
  <c r="Z7" i="3" s="1"/>
  <c r="Z9" i="3" a="1"/>
  <c r="Z9" i="3" s="1"/>
  <c r="AB56" i="3" a="1"/>
  <c r="AB56" i="3" s="1"/>
  <c r="I3" i="8"/>
  <c r="AB54" i="3" a="1"/>
  <c r="AB54" i="3" s="1"/>
  <c r="Z39" i="3" a="1"/>
  <c r="Z39" i="3" s="1"/>
  <c r="AB39" i="3" a="1"/>
  <c r="AB39" i="3" s="1"/>
  <c r="AB35" i="3" a="1"/>
  <c r="AB35" i="3" s="1"/>
  <c r="AB48" i="3" a="1"/>
  <c r="AB48" i="3" s="1"/>
  <c r="Y7" i="3" a="1"/>
  <c r="Y7" i="3" s="1"/>
  <c r="AA7" i="3" a="1"/>
  <c r="AA7" i="3" s="1"/>
  <c r="AB41" i="3" a="1"/>
  <c r="AB41" i="3" s="1"/>
  <c r="AB62" i="3" a="1"/>
  <c r="AB62" i="3" s="1"/>
  <c r="Z41" i="3" a="1"/>
  <c r="Z41" i="3" s="1"/>
  <c r="AB25" i="3" a="1"/>
  <c r="AB25" i="3" s="1"/>
  <c r="Y5" i="3" a="1"/>
  <c r="Y5" i="3" s="1"/>
  <c r="AA5" i="3" a="1"/>
  <c r="AA5" i="3" s="1"/>
  <c r="Z50" i="3" a="1"/>
  <c r="Z50" i="3" s="1"/>
  <c r="Y56" i="3" a="1"/>
  <c r="Y56" i="3" s="1"/>
  <c r="AB11" i="3" a="1"/>
  <c r="AB11" i="3" s="1"/>
  <c r="Z11" i="3" a="1"/>
  <c r="Z11" i="3" s="1"/>
  <c r="Y43" i="3" a="1"/>
  <c r="Y43" i="3" s="1"/>
  <c r="AB9" i="3" a="1"/>
  <c r="AB9" i="3" s="1"/>
  <c r="Z46" i="3" a="1"/>
  <c r="Z46" i="3" s="1"/>
  <c r="Y53" i="3" a="1"/>
  <c r="Y53" i="3" s="1"/>
  <c r="AB20" i="3" a="1"/>
  <c r="AB20" i="3" s="1"/>
  <c r="AB5" i="3" a="1"/>
  <c r="AB5" i="3" s="1"/>
  <c r="Z20" i="3" a="1"/>
  <c r="Z20" i="3" s="1"/>
  <c r="Z5" i="3" a="1"/>
  <c r="Z5" i="3" s="1"/>
  <c r="Z52" i="3" a="1"/>
  <c r="Z52" i="3" s="1"/>
  <c r="AB52" i="3" a="1"/>
  <c r="AB52" i="3" s="1"/>
  <c r="Y22" i="3" a="1"/>
  <c r="Y22" i="3" s="1"/>
  <c r="AB19" i="3" a="1"/>
  <c r="AB19" i="3" s="1"/>
  <c r="Z19" i="3" a="1"/>
  <c r="Z19" i="3" s="1"/>
  <c r="AB7" i="3" a="1"/>
  <c r="AB7" i="3" s="1"/>
  <c r="AA37" i="3" a="1"/>
  <c r="AA37" i="3" s="1"/>
  <c r="Y2" i="3" a="1"/>
  <c r="Y2" i="3" s="1"/>
  <c r="AA2" i="3" a="1"/>
  <c r="AA2" i="3" s="1"/>
  <c r="Z35" i="3" a="1"/>
  <c r="Z35" i="3" s="1"/>
  <c r="Z54" i="3" a="1"/>
  <c r="Z54" i="3" s="1"/>
  <c r="Y6" i="3" a="1"/>
  <c r="Y6" i="3" s="1"/>
  <c r="AA6" i="3" a="1"/>
  <c r="AA6" i="3" s="1"/>
  <c r="AA45" i="3" a="1"/>
  <c r="AA45" i="3" s="1"/>
  <c r="AB37" i="3" a="1"/>
  <c r="AB37" i="3" s="1"/>
  <c r="Y15" i="3" a="1"/>
  <c r="Y15" i="3" s="1"/>
  <c r="AB22" i="3" a="1"/>
  <c r="AB22" i="3" s="1"/>
  <c r="Y24" i="3" a="1"/>
  <c r="Y24" i="3" s="1"/>
  <c r="Z22" i="3" a="1"/>
  <c r="Z22" i="3" s="1"/>
  <c r="Z40" i="3" a="1"/>
  <c r="Z40" i="3" s="1"/>
  <c r="AA38" i="3" a="1"/>
  <c r="AA38" i="3" s="1"/>
  <c r="AA24" i="3" a="1"/>
  <c r="AA24" i="3" s="1"/>
  <c r="Y48" i="3" a="1"/>
  <c r="Y48" i="3" s="1"/>
  <c r="Y42" i="3" a="1"/>
  <c r="Y42" i="3" s="1"/>
  <c r="AB40" i="3" a="1"/>
  <c r="AB40" i="3" s="1"/>
  <c r="Y38" i="3" a="1"/>
  <c r="Y38" i="3" s="1"/>
  <c r="AA48" i="3" a="1"/>
  <c r="AA48" i="3" s="1"/>
  <c r="AA42" i="3" a="1"/>
  <c r="AA42" i="3" s="1"/>
  <c r="Z8" i="3" a="1"/>
  <c r="Z8" i="3" s="1"/>
  <c r="Z31" i="3" a="1"/>
  <c r="Z31" i="3" s="1"/>
  <c r="AA40" i="3" a="1"/>
  <c r="AA40" i="3" s="1"/>
  <c r="AA31" i="3" a="1"/>
  <c r="AA31" i="3" s="1"/>
  <c r="Z62" i="3" a="1"/>
  <c r="Z62" i="3" s="1"/>
  <c r="AB18" i="3" a="1"/>
  <c r="AB18" i="3" s="1"/>
  <c r="Z18" i="3" a="1"/>
  <c r="Z18" i="3" s="1"/>
  <c r="AA11" i="3" a="1"/>
  <c r="AA11" i="3" s="1"/>
  <c r="AB21" i="3" a="1"/>
  <c r="AB21" i="3" s="1"/>
  <c r="Y11" i="3" a="1"/>
  <c r="Y11" i="3" s="1"/>
  <c r="Z21" i="3" a="1"/>
  <c r="Z21" i="3" s="1"/>
  <c r="AA30" i="3" a="1"/>
  <c r="AA30" i="3" s="1"/>
  <c r="Y12" i="3" a="1"/>
  <c r="Y12" i="3" s="1"/>
  <c r="C2" i="7" a="1"/>
  <c r="C2" i="7" s="1"/>
  <c r="L2" i="7" s="1" a="1"/>
  <c r="L2" i="7" s="1"/>
  <c r="C13" i="7" a="1"/>
  <c r="C13" i="7" s="1"/>
  <c r="H13" i="7" s="1" a="1"/>
  <c r="H13" i="7" s="1"/>
  <c r="AB51" i="3" a="1"/>
  <c r="AB51" i="3" s="1"/>
  <c r="Y4" i="3" a="1"/>
  <c r="Y4" i="3" s="1"/>
  <c r="Z51" i="3" a="1"/>
  <c r="Z51" i="3" s="1"/>
  <c r="AA34" i="3" a="1"/>
  <c r="AA34" i="3" s="1"/>
  <c r="Y34" i="3" a="1"/>
  <c r="Y34" i="3" s="1"/>
  <c r="C14" i="7" a="1"/>
  <c r="C14" i="7" s="1"/>
  <c r="G14" i="7" s="1" a="1"/>
  <c r="G14" i="7" s="1"/>
  <c r="AA12" i="3" a="1"/>
  <c r="AA12" i="3" s="1"/>
  <c r="Y28" i="3" a="1"/>
  <c r="Y28" i="3" s="1"/>
  <c r="Y57" i="3" a="1"/>
  <c r="Y57" i="3" s="1"/>
  <c r="C7" i="7" a="1"/>
  <c r="C7" i="7" s="1"/>
  <c r="E7" i="7" s="1" a="1"/>
  <c r="E7" i="7" s="1"/>
  <c r="Z14" i="3" a="1"/>
  <c r="Z14" i="3" s="1"/>
  <c r="AB14" i="3" a="1"/>
  <c r="AB14" i="3" s="1"/>
  <c r="AA20" i="3" a="1"/>
  <c r="AA20" i="3" s="1"/>
  <c r="AB45" i="3" a="1"/>
  <c r="AB45" i="3" s="1"/>
  <c r="Z45" i="3" a="1"/>
  <c r="Z45" i="3" s="1"/>
  <c r="AA16" i="3" a="1"/>
  <c r="AA16" i="3" s="1"/>
  <c r="Y16" i="3" a="1"/>
  <c r="Y16" i="3" s="1"/>
  <c r="AB27" i="3" a="1"/>
  <c r="AB27" i="3" s="1"/>
  <c r="Z27" i="3" a="1"/>
  <c r="Z27" i="3" s="1"/>
  <c r="Z17" i="3" a="1"/>
  <c r="Z17" i="3" s="1"/>
  <c r="AB17" i="3" a="1"/>
  <c r="AB17" i="3" s="1"/>
  <c r="AA32" i="3" a="1"/>
  <c r="AA32" i="3" s="1"/>
  <c r="Y32" i="3" a="1"/>
  <c r="Y32" i="3" s="1"/>
  <c r="Z28" i="3" a="1"/>
  <c r="Z28" i="3" s="1"/>
  <c r="AB28" i="3" a="1"/>
  <c r="AB28" i="3" s="1"/>
  <c r="Y33" i="3" a="1"/>
  <c r="Y33" i="3" s="1"/>
  <c r="AA33" i="3" a="1"/>
  <c r="AA33" i="3" s="1"/>
  <c r="AA35" i="3" a="1"/>
  <c r="AA35" i="3" s="1"/>
  <c r="Z6" i="3" a="1"/>
  <c r="Z6" i="3" s="1"/>
  <c r="Z43" i="3" a="1"/>
  <c r="Z43" i="3" s="1"/>
  <c r="AB43" i="3" a="1"/>
  <c r="AB43" i="3" s="1"/>
  <c r="AB26" i="3" a="1"/>
  <c r="AB26" i="3" s="1"/>
  <c r="Z26" i="3" a="1"/>
  <c r="Z26" i="3" s="1"/>
  <c r="Z63" i="3" a="1"/>
  <c r="Z63" i="3" s="1"/>
  <c r="AB63" i="3" a="1"/>
  <c r="AB63" i="3" s="1"/>
  <c r="Y61" i="3" a="1"/>
  <c r="Y61" i="3" s="1"/>
  <c r="AA61" i="3" a="1"/>
  <c r="AA61" i="3" s="1"/>
  <c r="AB44" i="3" a="1"/>
  <c r="AB44" i="3" s="1"/>
  <c r="Z44" i="3" a="1"/>
  <c r="Z44" i="3" s="1"/>
  <c r="AA51" i="3" a="1"/>
  <c r="AA51" i="3" s="1"/>
  <c r="AB55" i="3" a="1"/>
  <c r="AB55" i="3" s="1"/>
  <c r="AB59" i="3" a="1"/>
  <c r="AB59" i="3" s="1"/>
  <c r="Z59" i="3" a="1"/>
  <c r="Z59" i="3" s="1"/>
  <c r="Y49" i="3" a="1"/>
  <c r="Y49" i="3" s="1"/>
  <c r="AA49" i="3" a="1"/>
  <c r="AA49" i="3" s="1"/>
  <c r="Y36" i="3" a="1"/>
  <c r="Y36" i="3" s="1"/>
  <c r="AA36" i="3" a="1"/>
  <c r="AA36" i="3" s="1"/>
  <c r="AB60" i="3" a="1"/>
  <c r="AB60" i="3" s="1"/>
  <c r="Z60" i="3" a="1"/>
  <c r="Z60" i="3" s="1"/>
  <c r="Z55" i="3" a="1"/>
  <c r="Z55" i="3" s="1"/>
  <c r="Z16" i="3" a="1"/>
  <c r="Z16" i="3" s="1"/>
  <c r="AB16" i="3" a="1"/>
  <c r="AB16" i="3" s="1"/>
  <c r="Z30" i="3" a="1"/>
  <c r="Z30" i="3" s="1"/>
  <c r="AB30" i="3" a="1"/>
  <c r="AB30" i="3" s="1"/>
  <c r="Z34" i="3" a="1"/>
  <c r="Z34" i="3" s="1"/>
  <c r="AB34" i="3" a="1"/>
  <c r="AB34" i="3" s="1"/>
  <c r="Z42" i="3" a="1"/>
  <c r="Z42" i="3" s="1"/>
  <c r="AB42" i="3" a="1"/>
  <c r="AB42" i="3" s="1"/>
  <c r="C6" i="7" a="1"/>
  <c r="C6" i="7" s="1"/>
  <c r="D6" i="7" s="1" a="1"/>
  <c r="D6" i="7" s="1"/>
  <c r="E2" i="7" a="1"/>
  <c r="E2" i="7" s="1"/>
  <c r="C5" i="7" a="1"/>
  <c r="C5" i="7" s="1"/>
  <c r="L5" i="7" s="1" a="1"/>
  <c r="L5" i="7" s="1"/>
  <c r="Y14" i="3" a="1"/>
  <c r="Y14" i="3" s="1"/>
  <c r="AA14" i="3" a="1"/>
  <c r="AA14" i="3" s="1"/>
  <c r="Z15" i="3" a="1"/>
  <c r="Z15" i="3" s="1"/>
  <c r="AB15" i="3" a="1"/>
  <c r="AB15" i="3" s="1"/>
  <c r="C4" i="7" a="1"/>
  <c r="C4" i="7" s="1"/>
  <c r="E4" i="7" s="1" a="1"/>
  <c r="E4" i="7" s="1"/>
  <c r="C11" i="7" a="1"/>
  <c r="C11" i="7" s="1"/>
  <c r="L11" i="7" s="1" a="1"/>
  <c r="L11" i="7" s="1"/>
  <c r="C8" i="7" a="1"/>
  <c r="C8" i="7" s="1"/>
  <c r="E8" i="7" s="1" a="1"/>
  <c r="E8" i="7" s="1"/>
  <c r="AB47" i="3" a="1"/>
  <c r="AB47" i="3" s="1"/>
  <c r="Z47" i="3" a="1"/>
  <c r="Z47" i="3" s="1"/>
  <c r="Y63" i="3" a="1"/>
  <c r="Y63" i="3" s="1"/>
  <c r="AA63" i="3" a="1"/>
  <c r="AA63" i="3" s="1"/>
  <c r="AA3" i="3" a="1"/>
  <c r="AA3" i="3" s="1"/>
  <c r="Y3" i="3" a="1"/>
  <c r="Y3" i="3" s="1"/>
  <c r="AB49" i="3" a="1"/>
  <c r="AB49" i="3" s="1"/>
  <c r="Z49" i="3" a="1"/>
  <c r="Z49" i="3" s="1"/>
  <c r="C9" i="7" a="1"/>
  <c r="C9" i="7" s="1"/>
  <c r="E9" i="7" s="1" a="1"/>
  <c r="E9" i="7" s="1"/>
  <c r="C10" i="7" a="1"/>
  <c r="C10" i="7" s="1"/>
  <c r="Z61" i="3" a="1"/>
  <c r="Z61" i="3" s="1"/>
  <c r="AB61" i="3" a="1"/>
  <c r="AB61" i="3" s="1"/>
  <c r="Y13" i="3" a="1"/>
  <c r="Y13" i="3" s="1"/>
  <c r="AA13" i="3" a="1"/>
  <c r="AA13" i="3" s="1"/>
  <c r="Y62" i="3" a="1"/>
  <c r="Y62" i="3" s="1"/>
  <c r="AA62" i="3" a="1"/>
  <c r="AA62" i="3" s="1"/>
  <c r="I2" i="7" a="1"/>
  <c r="I2" i="7" s="1"/>
  <c r="Z53" i="3" a="1"/>
  <c r="Z53" i="3" s="1"/>
  <c r="Z33" i="3" a="1"/>
  <c r="Z33" i="3" s="1"/>
  <c r="AB33" i="3" a="1"/>
  <c r="AB33" i="3" s="1"/>
  <c r="AB10" i="3" a="1"/>
  <c r="AB10" i="3" s="1"/>
  <c r="Z10" i="3" a="1"/>
  <c r="Z10" i="3" s="1"/>
  <c r="Y41" i="3" a="1"/>
  <c r="Y41" i="3" s="1"/>
  <c r="AB12" i="3" a="1"/>
  <c r="AB12" i="3" s="1"/>
  <c r="G2" i="7" a="1"/>
  <c r="G2" i="7" s="1"/>
  <c r="AA41" i="3" a="1"/>
  <c r="AA41" i="3" s="1"/>
  <c r="C3" i="7" a="1"/>
  <c r="C3" i="7" s="1"/>
  <c r="D3" i="7" s="1" a="1"/>
  <c r="D3" i="7" s="1"/>
  <c r="Z12" i="3" a="1"/>
  <c r="Z12" i="3" s="1"/>
  <c r="C12" i="7" a="1"/>
  <c r="C12" i="7" s="1"/>
  <c r="D12" i="7" s="1" a="1"/>
  <c r="D12" i="7" s="1"/>
  <c r="Z32" i="3" a="1"/>
  <c r="Z32" i="3" s="1"/>
  <c r="AA19" i="3" a="1"/>
  <c r="AA19" i="3" s="1"/>
  <c r="Y19" i="3" a="1"/>
  <c r="Y19" i="3" s="1"/>
  <c r="Y18" i="3" a="1"/>
  <c r="Y18" i="3" s="1"/>
  <c r="AA18" i="3" a="1"/>
  <c r="AA18" i="3" s="1"/>
  <c r="Y17" i="3" a="1"/>
  <c r="Y17" i="3" s="1"/>
  <c r="AA17" i="3" a="1"/>
  <c r="AA17" i="3" s="1"/>
  <c r="AA4" i="3" a="1"/>
  <c r="AA4" i="3" s="1"/>
  <c r="Y44" i="3" a="1"/>
  <c r="Y44" i="3" s="1"/>
  <c r="AA44" i="3" a="1"/>
  <c r="AA44" i="3" s="1"/>
  <c r="AA52" i="3" a="1"/>
  <c r="AA52" i="3" s="1"/>
  <c r="Y52" i="3" a="1"/>
  <c r="Y52" i="3" s="1"/>
  <c r="K14" i="7" a="1"/>
  <c r="K14" i="7" s="1"/>
  <c r="F2" i="7" a="1"/>
  <c r="F2" i="7" s="1"/>
  <c r="D7" i="7" a="1"/>
  <c r="D7" i="7" s="1"/>
  <c r="H2" i="7" a="1"/>
  <c r="H2" i="7" s="1"/>
  <c r="X19" i="9" l="1" a="1"/>
  <c r="X19" i="9" s="1"/>
  <c r="P14" i="9" a="1"/>
  <c r="P14" i="9" s="1"/>
  <c r="P5" i="6" a="1"/>
  <c r="P5" i="6" s="1"/>
  <c r="Y14" i="9" a="1"/>
  <c r="Y14" i="9" s="1"/>
  <c r="J3" i="9" a="1"/>
  <c r="J3" i="9" s="1"/>
  <c r="X11" i="9" a="1"/>
  <c r="X11" i="9" s="1"/>
  <c r="Q16" i="9" a="1"/>
  <c r="Q16" i="9" s="1"/>
  <c r="W8" i="9" a="1"/>
  <c r="W8" i="9" s="1"/>
  <c r="L4" i="9" a="1"/>
  <c r="L4" i="9" s="1"/>
  <c r="Q18" i="9" a="1"/>
  <c r="Q18" i="9" s="1"/>
  <c r="Z6" i="9" a="1"/>
  <c r="Z6" i="9" s="1"/>
  <c r="J8" i="9" a="1"/>
  <c r="J8" i="9" s="1"/>
  <c r="AC16" i="9" a="1"/>
  <c r="AC16" i="9" s="1"/>
  <c r="W6" i="9" a="1"/>
  <c r="W6" i="9" s="1"/>
  <c r="S5" i="6" a="1"/>
  <c r="S5" i="6" s="1"/>
  <c r="E12" i="11" s="1"/>
  <c r="O12" i="9" a="1"/>
  <c r="O12" i="9" s="1"/>
  <c r="O13" i="9" a="1"/>
  <c r="O13" i="9" s="1"/>
  <c r="L18" i="9" a="1"/>
  <c r="L18" i="9" s="1"/>
  <c r="Y5" i="9" a="1"/>
  <c r="Y5" i="9" s="1"/>
  <c r="V18" i="9" a="1"/>
  <c r="V18" i="9" s="1"/>
  <c r="K14" i="9" a="1"/>
  <c r="K14" i="9" s="1"/>
  <c r="L12" i="9" a="1"/>
  <c r="L12" i="9" s="1"/>
  <c r="V13" i="9" a="1"/>
  <c r="V13" i="9" s="1"/>
  <c r="M6" i="6" a="1"/>
  <c r="M6" i="6" s="1"/>
  <c r="N4" i="6" a="1"/>
  <c r="N4" i="6" s="1"/>
  <c r="L15" i="9" a="1"/>
  <c r="L15" i="9" s="1"/>
  <c r="O9" i="9" a="1"/>
  <c r="O9" i="9" s="1"/>
  <c r="AB18" i="9" a="1"/>
  <c r="AB18" i="9" s="1"/>
  <c r="L4" i="6" a="1"/>
  <c r="L4" i="6" s="1"/>
  <c r="Y4" i="6" a="1"/>
  <c r="Y4" i="6" s="1"/>
  <c r="F11" i="11" s="1"/>
  <c r="U5" i="6" a="1"/>
  <c r="U5" i="6" s="1"/>
  <c r="E14" i="11" s="1"/>
  <c r="L6" i="6" a="1"/>
  <c r="L6" i="6" s="1"/>
  <c r="N15" i="9" a="1"/>
  <c r="N15" i="9" s="1"/>
  <c r="AB7" i="6" a="1"/>
  <c r="AB7" i="6" s="1"/>
  <c r="G4" i="11" s="1"/>
  <c r="M3" i="6" a="1"/>
  <c r="M3" i="6" s="1"/>
  <c r="X18" i="9" a="1"/>
  <c r="X18" i="9" s="1"/>
  <c r="AB9" i="9" a="1"/>
  <c r="AB9" i="9" s="1"/>
  <c r="L7" i="6" a="1"/>
  <c r="L7" i="6" s="1"/>
  <c r="X13" i="9" a="1"/>
  <c r="X13" i="9" s="1"/>
  <c r="AB4" i="6" a="1"/>
  <c r="AB4" i="6" s="1"/>
  <c r="G10" i="11" s="1"/>
  <c r="AC5" i="9" a="1"/>
  <c r="AC5" i="9" s="1"/>
  <c r="Y3" i="9" a="1"/>
  <c r="Y3" i="9" s="1"/>
  <c r="M20" i="9" a="1"/>
  <c r="M20" i="9" s="1"/>
  <c r="W3" i="6" a="1"/>
  <c r="W3" i="6" s="1"/>
  <c r="F15" i="11" s="1"/>
  <c r="Z3" i="9" a="1"/>
  <c r="Z3" i="9" s="1"/>
  <c r="M15" i="9" a="1"/>
  <c r="M15" i="9" s="1"/>
  <c r="W6" i="6" a="1"/>
  <c r="W6" i="6" s="1"/>
  <c r="F6" i="11" s="1"/>
  <c r="Q3" i="6" a="1"/>
  <c r="Q3" i="6" s="1"/>
  <c r="D17" i="11" s="1"/>
  <c r="AC7" i="6" a="1"/>
  <c r="AC7" i="6" s="1"/>
  <c r="G5" i="11" s="1"/>
  <c r="K12" i="9" a="1"/>
  <c r="K12" i="9" s="1"/>
  <c r="Q6" i="6" a="1"/>
  <c r="Q6" i="6" s="1"/>
  <c r="M18" i="9" a="1"/>
  <c r="M18" i="9" s="1"/>
  <c r="X7" i="6" a="1"/>
  <c r="X7" i="6" s="1"/>
  <c r="F4" i="11" s="1"/>
  <c r="P8" i="9" a="1"/>
  <c r="P8" i="9" s="1"/>
  <c r="O6" i="6" a="1"/>
  <c r="O6" i="6" s="1"/>
  <c r="D6" i="11" s="1"/>
  <c r="W20" i="9" a="1"/>
  <c r="W20" i="9" s="1"/>
  <c r="AB12" i="9" a="1"/>
  <c r="AB12" i="9" s="1"/>
  <c r="V10" i="9" a="1"/>
  <c r="V10" i="9" s="1"/>
  <c r="W3" i="9" a="1"/>
  <c r="W3" i="9" s="1"/>
  <c r="L7" i="9" a="1"/>
  <c r="L7" i="9" s="1"/>
  <c r="K15" i="9" a="1"/>
  <c r="K15" i="9" s="1"/>
  <c r="P20" i="9" a="1"/>
  <c r="P20" i="9" s="1"/>
  <c r="Z19" i="9" a="1"/>
  <c r="Z19" i="9" s="1"/>
  <c r="L11" i="9" a="1"/>
  <c r="L11" i="9" s="1"/>
  <c r="M4" i="6" a="1"/>
  <c r="M4" i="6" s="1"/>
  <c r="Y19" i="9" a="1"/>
  <c r="Y19" i="9" s="1"/>
  <c r="K4" i="9" a="1"/>
  <c r="K4" i="9" s="1"/>
  <c r="N5" i="6" a="1"/>
  <c r="N5" i="6" s="1"/>
  <c r="AA6" i="9" a="1"/>
  <c r="AA6" i="9" s="1"/>
  <c r="J18" i="9" a="1"/>
  <c r="J18" i="9" s="1"/>
  <c r="Z13" i="9" a="1"/>
  <c r="Z13" i="9" s="1"/>
  <c r="O4" i="9" a="1"/>
  <c r="O4" i="9" s="1"/>
  <c r="O4" i="6" a="1"/>
  <c r="O4" i="6" s="1"/>
  <c r="D9" i="11" s="1"/>
  <c r="AA13" i="9" a="1"/>
  <c r="AA13" i="9" s="1"/>
  <c r="O20" i="9" a="1"/>
  <c r="O20" i="9" s="1"/>
  <c r="W13" i="9" a="1"/>
  <c r="W13" i="9" s="1"/>
  <c r="T6" i="6" a="1"/>
  <c r="T6" i="6" s="1"/>
  <c r="E7" i="11" s="1"/>
  <c r="Q7" i="6" a="1"/>
  <c r="Q7" i="6" s="1"/>
  <c r="D5" i="11" s="1"/>
  <c r="K16" i="9" a="1"/>
  <c r="K16" i="9" s="1"/>
  <c r="T4" i="6" a="1"/>
  <c r="T4" i="6" s="1"/>
  <c r="E10" i="11" s="1"/>
  <c r="O10" i="9" a="1"/>
  <c r="O10" i="9" s="1"/>
  <c r="T7" i="6" a="1"/>
  <c r="T7" i="6" s="1"/>
  <c r="E4" i="11" s="1"/>
  <c r="K17" i="9" a="1"/>
  <c r="K17" i="9" s="1"/>
  <c r="Q4" i="6" a="1"/>
  <c r="Q4" i="6" s="1"/>
  <c r="D11" i="11" s="1"/>
  <c r="X4" i="9" a="1"/>
  <c r="X4" i="9" s="1"/>
  <c r="AB16" i="9" a="1"/>
  <c r="AB16" i="9" s="1"/>
  <c r="W15" i="9" a="1"/>
  <c r="W15" i="9" s="1"/>
  <c r="AB8" i="9" a="1"/>
  <c r="AB8" i="9" s="1"/>
  <c r="N10" i="9" a="1"/>
  <c r="N10" i="9" s="1"/>
  <c r="AB5" i="6" a="1"/>
  <c r="AB5" i="6" s="1"/>
  <c r="G13" i="11" s="1"/>
  <c r="AA19" i="9" a="1"/>
  <c r="AA19" i="9" s="1"/>
  <c r="Q9" i="9" a="1"/>
  <c r="Q9" i="9" s="1"/>
  <c r="P6" i="9" a="1"/>
  <c r="P6" i="9" s="1"/>
  <c r="AB19" i="9" a="1"/>
  <c r="AB19" i="9" s="1"/>
  <c r="Q4" i="9" a="1"/>
  <c r="Q4" i="9" s="1"/>
  <c r="L5" i="9" a="1"/>
  <c r="L5" i="9" s="1"/>
  <c r="W5" i="6" a="1"/>
  <c r="W5" i="6" s="1"/>
  <c r="F12" i="11" s="1"/>
  <c r="T5" i="6" a="1"/>
  <c r="T5" i="6" s="1"/>
  <c r="E13" i="11" s="1"/>
  <c r="M14" i="9" a="1"/>
  <c r="M14" i="9" s="1"/>
  <c r="X3" i="6" a="1"/>
  <c r="X3" i="6" s="1"/>
  <c r="F16" i="11" s="1"/>
  <c r="Q15" i="9" a="1"/>
  <c r="Q15" i="9" s="1"/>
  <c r="N19" i="9" a="1"/>
  <c r="N19" i="9" s="1"/>
  <c r="M12" i="9" a="1"/>
  <c r="M12" i="9" s="1"/>
  <c r="U7" i="6" a="1"/>
  <c r="U7" i="6" s="1"/>
  <c r="E5" i="11" s="1"/>
  <c r="Y9" i="9" a="1"/>
  <c r="Y9" i="9" s="1"/>
  <c r="AC14" i="9" a="1"/>
  <c r="AC14" i="9" s="1"/>
  <c r="X20" i="9" a="1"/>
  <c r="X20" i="9" s="1"/>
  <c r="M9" i="9" a="1"/>
  <c r="M9" i="9" s="1"/>
  <c r="M5" i="6" a="1"/>
  <c r="M5" i="6" s="1"/>
  <c r="Q14" i="9" a="1"/>
  <c r="Q14" i="9" s="1"/>
  <c r="AA8" i="9" a="1"/>
  <c r="AA8" i="9" s="1"/>
  <c r="O5" i="9" a="1"/>
  <c r="O5" i="9" s="1"/>
  <c r="V7" i="6" a="1"/>
  <c r="V7" i="6" s="1"/>
  <c r="AC17" i="9" a="1"/>
  <c r="AC17" i="9" s="1"/>
  <c r="P15" i="9" a="1"/>
  <c r="P15" i="9" s="1"/>
  <c r="P3" i="6" a="1"/>
  <c r="P3" i="6" s="1"/>
  <c r="D16" i="11" s="1"/>
  <c r="AB6" i="9" a="1"/>
  <c r="AB6" i="9" s="1"/>
  <c r="V5" i="9" a="1"/>
  <c r="V5" i="9" s="1"/>
  <c r="L17" i="9" a="1"/>
  <c r="L17" i="9" s="1"/>
  <c r="AC6" i="9" a="1"/>
  <c r="AC6" i="9" s="1"/>
  <c r="V9" i="9" a="1"/>
  <c r="V9" i="9" s="1"/>
  <c r="N17" i="9" a="1"/>
  <c r="N17" i="9" s="1"/>
  <c r="K8" i="9" a="1"/>
  <c r="K8" i="9" s="1"/>
  <c r="W4" i="6" a="1"/>
  <c r="W4" i="6" s="1"/>
  <c r="F9" i="11" s="1"/>
  <c r="O3" i="9" a="1"/>
  <c r="O3" i="9" s="1"/>
  <c r="V3" i="9" a="1"/>
  <c r="V3" i="9" s="1"/>
  <c r="V20" i="9" a="1"/>
  <c r="V20" i="9" s="1"/>
  <c r="J12" i="9" a="1"/>
  <c r="J12" i="9" s="1"/>
  <c r="M16" i="9" a="1"/>
  <c r="M16" i="9" s="1"/>
  <c r="X6" i="6" a="1"/>
  <c r="X6" i="6" s="1"/>
  <c r="F7" i="11" s="1"/>
  <c r="Z5" i="9" a="1"/>
  <c r="Z5" i="9" s="1"/>
  <c r="AA7" i="6" a="1"/>
  <c r="AA7" i="6" s="1"/>
  <c r="G3" i="11" s="1"/>
  <c r="Y4" i="9" a="1"/>
  <c r="Y4" i="9" s="1"/>
  <c r="R4" i="6" a="1"/>
  <c r="R4" i="6" s="1"/>
  <c r="M7" i="6" a="1"/>
  <c r="M7" i="6" s="1"/>
  <c r="AA17" i="9" a="1"/>
  <c r="AA17" i="9" s="1"/>
  <c r="AB17" i="9" a="1"/>
  <c r="AB17" i="9" s="1"/>
  <c r="Q7" i="9" a="1"/>
  <c r="Q7" i="9" s="1"/>
  <c r="Y6" i="6" a="1"/>
  <c r="Y6" i="6" s="1"/>
  <c r="F8" i="11" s="1"/>
  <c r="K20" i="9" a="1"/>
  <c r="K20" i="9" s="1"/>
  <c r="S7" i="6" a="1"/>
  <c r="S7" i="6" s="1"/>
  <c r="E3" i="11" s="1"/>
  <c r="AC8" i="9" a="1"/>
  <c r="AC8" i="9" s="1"/>
  <c r="W7" i="9" a="1"/>
  <c r="W7" i="9" s="1"/>
  <c r="N12" i="9" a="1"/>
  <c r="N12" i="9" s="1"/>
  <c r="Z3" i="6" a="1"/>
  <c r="Z3" i="6" s="1"/>
  <c r="W5" i="9" a="1"/>
  <c r="W5" i="9" s="1"/>
  <c r="Q19" i="9" a="1"/>
  <c r="Q19" i="9" s="1"/>
  <c r="J17" i="9" a="1"/>
  <c r="J17" i="9" s="1"/>
  <c r="O16" i="9" a="1"/>
  <c r="O16" i="9" s="1"/>
  <c r="Q13" i="9" a="1"/>
  <c r="Q13" i="9" s="1"/>
  <c r="P3" i="9" a="1"/>
  <c r="P3" i="9" s="1"/>
  <c r="W4" i="9" a="1"/>
  <c r="W4" i="9" s="1"/>
  <c r="L9" i="9" a="1"/>
  <c r="L9" i="9" s="1"/>
  <c r="O14" i="9" a="1"/>
  <c r="O14" i="9" s="1"/>
  <c r="L8" i="9" a="1"/>
  <c r="L8" i="9" s="1"/>
  <c r="AA7" i="9" a="1"/>
  <c r="AA7" i="9" s="1"/>
  <c r="N3" i="6" a="1"/>
  <c r="N3" i="6" s="1"/>
  <c r="Z9" i="9" a="1"/>
  <c r="Z9" i="9" s="1"/>
  <c r="L3" i="6" a="1"/>
  <c r="L3" i="6" s="1"/>
  <c r="L14" i="9" a="1"/>
  <c r="L14" i="9" s="1"/>
  <c r="AC12" i="9" a="1"/>
  <c r="AC12" i="9" s="1"/>
  <c r="Q11" i="9" a="1"/>
  <c r="Q11" i="9" s="1"/>
  <c r="Y6" i="9" a="1"/>
  <c r="Y6" i="9" s="1"/>
  <c r="AB6" i="6" a="1"/>
  <c r="AB6" i="6" s="1"/>
  <c r="G7" i="11" s="1"/>
  <c r="M4" i="9" a="1"/>
  <c r="M4" i="9" s="1"/>
  <c r="V5" i="6" a="1"/>
  <c r="V5" i="6" s="1"/>
  <c r="W11" i="9" a="1"/>
  <c r="W11" i="9" s="1"/>
  <c r="N16" i="9" a="1"/>
  <c r="N16" i="9" s="1"/>
  <c r="AC4" i="6" a="1"/>
  <c r="AC4" i="6" s="1"/>
  <c r="G11" i="11" s="1"/>
  <c r="X7" i="9" a="1"/>
  <c r="X7" i="9" s="1"/>
  <c r="V6" i="9" a="1"/>
  <c r="V6" i="9" s="1"/>
  <c r="P12" i="9" a="1"/>
  <c r="P12" i="9" s="1"/>
  <c r="N14" i="9" a="1"/>
  <c r="N14" i="9" s="1"/>
  <c r="V19" i="9" a="1"/>
  <c r="V19" i="9" s="1"/>
  <c r="L6" i="9" a="1"/>
  <c r="L6" i="9" s="1"/>
  <c r="X9" i="9" a="1"/>
  <c r="X9" i="9" s="1"/>
  <c r="C3" i="6" a="1"/>
  <c r="C3" i="6" s="1"/>
  <c r="Q3" i="9" a="1"/>
  <c r="Q3" i="9" s="1"/>
  <c r="P16" i="9" a="1"/>
  <c r="P16" i="9" s="1"/>
  <c r="AA11" i="9" a="1"/>
  <c r="AA11" i="9" s="1"/>
  <c r="R7" i="6" a="1"/>
  <c r="R7" i="6" s="1"/>
  <c r="AA5" i="9" a="1"/>
  <c r="AA5" i="9" s="1"/>
  <c r="AB7" i="9" a="1"/>
  <c r="AB7" i="9" s="1"/>
  <c r="N13" i="9" a="1"/>
  <c r="N13" i="9" s="1"/>
  <c r="W10" i="9" a="1"/>
  <c r="W10" i="9" s="1"/>
  <c r="J14" i="9" a="1"/>
  <c r="J14" i="9" s="1"/>
  <c r="S3" i="6" a="1"/>
  <c r="S3" i="6" s="1"/>
  <c r="E15" i="11" s="1"/>
  <c r="Q5" i="9" a="1"/>
  <c r="Q5" i="9" s="1"/>
  <c r="L3" i="9" a="1"/>
  <c r="L3" i="9" s="1"/>
  <c r="P7" i="6" a="1"/>
  <c r="P7" i="6" s="1"/>
  <c r="D4" i="11" s="1"/>
  <c r="Y10" i="9" a="1"/>
  <c r="Y10" i="9" s="1"/>
  <c r="K3" i="9" a="1"/>
  <c r="K3" i="9" s="1"/>
  <c r="S4" i="6" a="1"/>
  <c r="S4" i="6" s="1"/>
  <c r="E9" i="11" s="1"/>
  <c r="Y18" i="9" a="1"/>
  <c r="Y18" i="9" s="1"/>
  <c r="X17" i="9" a="1"/>
  <c r="X17" i="9" s="1"/>
  <c r="K18" i="9" a="1"/>
  <c r="K18" i="9" s="1"/>
  <c r="M3" i="9" a="1"/>
  <c r="M3" i="9" s="1"/>
  <c r="X8" i="9" a="1"/>
  <c r="X8" i="9" s="1"/>
  <c r="N5" i="9" a="1"/>
  <c r="N5" i="9" s="1"/>
  <c r="Z7" i="9" a="1"/>
  <c r="Z7" i="9" s="1"/>
  <c r="C4" i="6" a="1"/>
  <c r="C4" i="6" s="1"/>
  <c r="F4" i="6" s="1" a="1"/>
  <c r="F4" i="6" s="1"/>
  <c r="W19" i="9" a="1"/>
  <c r="W19" i="9" s="1"/>
  <c r="J20" i="9" a="1"/>
  <c r="J20" i="9" s="1"/>
  <c r="AC10" i="9" a="1"/>
  <c r="AC10" i="9" s="1"/>
  <c r="L10" i="9" a="1"/>
  <c r="L10" i="9" s="1"/>
  <c r="AB11" i="9" a="1"/>
  <c r="AB11" i="9" s="1"/>
  <c r="P19" i="9" a="1"/>
  <c r="P19" i="9" s="1"/>
  <c r="K13" i="9" a="1"/>
  <c r="K13" i="9" s="1"/>
  <c r="M13" i="9" a="1"/>
  <c r="M13" i="9" s="1"/>
  <c r="W7" i="6" a="1"/>
  <c r="W7" i="6" s="1"/>
  <c r="F3" i="11" s="1"/>
  <c r="Z10" i="9" a="1"/>
  <c r="Z10" i="9" s="1"/>
  <c r="Y12" i="9" a="1"/>
  <c r="Y12" i="9" s="1"/>
  <c r="Q20" i="9" a="1"/>
  <c r="Q20" i="9" s="1"/>
  <c r="J9" i="9" a="1"/>
  <c r="J9" i="9" s="1"/>
  <c r="Y17" i="9" a="1"/>
  <c r="Y17" i="9" s="1"/>
  <c r="M10" i="9" a="1"/>
  <c r="M10" i="9" s="1"/>
  <c r="Z11" i="9" a="1"/>
  <c r="Z11" i="9" s="1"/>
  <c r="P7" i="9" a="1"/>
  <c r="P7" i="9" s="1"/>
  <c r="X6" i="9" a="1"/>
  <c r="X6" i="9" s="1"/>
  <c r="N4" i="9" a="1"/>
  <c r="N4" i="9" s="1"/>
  <c r="AA5" i="6" a="1"/>
  <c r="AA5" i="6" s="1"/>
  <c r="G12" i="11" s="1"/>
  <c r="J15" i="9" a="1"/>
  <c r="J15" i="9" s="1"/>
  <c r="AC18" i="9" a="1"/>
  <c r="AC18" i="9" s="1"/>
  <c r="K3" i="6" a="1"/>
  <c r="K3" i="6" s="1"/>
  <c r="V7" i="9" a="1"/>
  <c r="V7" i="9" s="1"/>
  <c r="K6" i="9" a="1"/>
  <c r="K6" i="9" s="1"/>
  <c r="N6" i="6" a="1"/>
  <c r="N6" i="6" s="1"/>
  <c r="Y20" i="9" a="1"/>
  <c r="Y20" i="9" s="1"/>
  <c r="M6" i="9" a="1"/>
  <c r="M6" i="9" s="1"/>
  <c r="Y5" i="6" a="1"/>
  <c r="Y5" i="6" s="1"/>
  <c r="F14" i="11" s="1"/>
  <c r="V11" i="9" a="1"/>
  <c r="V11" i="9" s="1"/>
  <c r="M19" i="9" a="1"/>
  <c r="M19" i="9" s="1"/>
  <c r="V4" i="6" a="1"/>
  <c r="V4" i="6" s="1"/>
  <c r="AA20" i="9" a="1"/>
  <c r="AA20" i="9" s="1"/>
  <c r="O19" i="9" a="1"/>
  <c r="O19" i="9" s="1"/>
  <c r="M17" i="9" a="1"/>
  <c r="M17" i="9" s="1"/>
  <c r="AA15" i="9" a="1"/>
  <c r="AA15" i="9" s="1"/>
  <c r="Y16" i="9" a="1"/>
  <c r="Y16" i="9" s="1"/>
  <c r="Y7" i="9" a="1"/>
  <c r="Y7" i="9" s="1"/>
  <c r="P11" i="9" a="1"/>
  <c r="P11" i="9" s="1"/>
  <c r="Z12" i="9" a="1"/>
  <c r="Z12" i="9" s="1"/>
  <c r="W9" i="9" a="1"/>
  <c r="W9" i="9" s="1"/>
  <c r="AA18" i="9" a="1"/>
  <c r="AA18" i="9" s="1"/>
  <c r="O15" i="9" a="1"/>
  <c r="O15" i="9" s="1"/>
  <c r="Y8" i="9" a="1"/>
  <c r="Y8" i="9" s="1"/>
  <c r="P9" i="9" a="1"/>
  <c r="P9" i="9" s="1"/>
  <c r="O5" i="6" a="1"/>
  <c r="O5" i="6" s="1"/>
  <c r="D12" i="11" s="1"/>
  <c r="N20" i="9" a="1"/>
  <c r="N20" i="9" s="1"/>
  <c r="X15" i="9" a="1"/>
  <c r="X15" i="9" s="1"/>
  <c r="V6" i="6" a="1"/>
  <c r="V6" i="6" s="1"/>
  <c r="K4" i="6" a="1"/>
  <c r="K4" i="6" s="1"/>
  <c r="K6" i="6" a="1"/>
  <c r="K6" i="6" s="1"/>
  <c r="D4" i="6" a="1"/>
  <c r="D4" i="6" s="1"/>
  <c r="M8" i="9" a="1"/>
  <c r="M8" i="9" s="1"/>
  <c r="R5" i="6" a="1"/>
  <c r="R5" i="6" s="1"/>
  <c r="Z4" i="9" a="1"/>
  <c r="Z4" i="9" s="1"/>
  <c r="Q17" i="9" a="1"/>
  <c r="Q17" i="9" s="1"/>
  <c r="J10" i="9" a="1"/>
  <c r="J10" i="9" s="1"/>
  <c r="W18" i="9" a="1"/>
  <c r="W18" i="9" s="1"/>
  <c r="O6" i="9" a="1"/>
  <c r="O6" i="9" s="1"/>
  <c r="Z8" i="9" a="1"/>
  <c r="Z8" i="9" s="1"/>
  <c r="AB4" i="9" a="1"/>
  <c r="AB4" i="9" s="1"/>
  <c r="Q6" i="9" a="1"/>
  <c r="Q6" i="9" s="1"/>
  <c r="J16" i="9" a="1"/>
  <c r="J16" i="9" s="1"/>
  <c r="AB20" i="9" a="1"/>
  <c r="AB20" i="9" s="1"/>
  <c r="Z14" i="9" a="1"/>
  <c r="Z14" i="9" s="1"/>
  <c r="Y11" i="9" a="1"/>
  <c r="Y11" i="9" s="1"/>
  <c r="V4" i="9" a="1"/>
  <c r="V4" i="9" s="1"/>
  <c r="Z16" i="9" a="1"/>
  <c r="Z16" i="9" s="1"/>
  <c r="L20" i="9" a="1"/>
  <c r="L20" i="9" s="1"/>
  <c r="AB10" i="9" a="1"/>
  <c r="AB10" i="9" s="1"/>
  <c r="X5" i="9" a="1"/>
  <c r="X5" i="9" s="1"/>
  <c r="Z17" i="9" a="1"/>
  <c r="Z17" i="9" s="1"/>
  <c r="K5" i="9" a="1"/>
  <c r="K5" i="9" s="1"/>
  <c r="R3" i="6" a="1"/>
  <c r="R3" i="6" s="1"/>
  <c r="P4" i="9" a="1"/>
  <c r="P4" i="9" s="1"/>
  <c r="AA3" i="6" a="1"/>
  <c r="AA3" i="6" s="1"/>
  <c r="G15" i="11" s="1"/>
  <c r="P13" i="9" a="1"/>
  <c r="P13" i="9" s="1"/>
  <c r="S6" i="6" a="1"/>
  <c r="S6" i="6" s="1"/>
  <c r="E6" i="11" s="1"/>
  <c r="K5" i="6" a="1"/>
  <c r="K5" i="6" s="1"/>
  <c r="H4" i="6" a="1"/>
  <c r="H4" i="6" s="1"/>
  <c r="O17" i="9" a="1"/>
  <c r="O17" i="9" s="1"/>
  <c r="V3" i="6" a="1"/>
  <c r="V3" i="6" s="1"/>
  <c r="AA9" i="9" a="1"/>
  <c r="AA9" i="9" s="1"/>
  <c r="V12" i="9" a="1"/>
  <c r="V12" i="9" s="1"/>
  <c r="L16" i="9" a="1"/>
  <c r="L16" i="9" s="1"/>
  <c r="X10" i="9" a="1"/>
  <c r="X10" i="9" s="1"/>
  <c r="Q8" i="9" a="1"/>
  <c r="Q8" i="9" s="1"/>
  <c r="J7" i="9" a="1"/>
  <c r="J7" i="9" s="1"/>
  <c r="AC9" i="9" a="1"/>
  <c r="AC9" i="9" s="1"/>
  <c r="V8" i="9" a="1"/>
  <c r="V8" i="9" s="1"/>
  <c r="J5" i="9" a="1"/>
  <c r="J5" i="9" s="1"/>
  <c r="AC4" i="9" a="1"/>
  <c r="AC4" i="9" s="1"/>
  <c r="AA3" i="9" a="1"/>
  <c r="AA3" i="9" s="1"/>
  <c r="Z18" i="9" a="1"/>
  <c r="Z18" i="9" s="1"/>
  <c r="C6" i="6" a="1"/>
  <c r="C6" i="6" s="1"/>
  <c r="I6" i="6" s="1" a="1"/>
  <c r="I6" i="6" s="1"/>
  <c r="AA14" i="9" a="1"/>
  <c r="AA14" i="9" s="1"/>
  <c r="J4" i="9" a="1"/>
  <c r="J4" i="9" s="1"/>
  <c r="AC15" i="9" a="1"/>
  <c r="AC15" i="9" s="1"/>
  <c r="C5" i="6" a="1"/>
  <c r="C5" i="6" s="1"/>
  <c r="F5" i="6" s="1" a="1"/>
  <c r="F5" i="6" s="1"/>
  <c r="AA12" i="9" a="1"/>
  <c r="AA12" i="9" s="1"/>
  <c r="M7" i="9" a="1"/>
  <c r="M7" i="9" s="1"/>
  <c r="U6" i="6" a="1"/>
  <c r="U6" i="6" s="1"/>
  <c r="E8" i="11" s="1"/>
  <c r="K9" i="9" a="1"/>
  <c r="K9" i="9" s="1"/>
  <c r="N7" i="6" a="1"/>
  <c r="N7" i="6" s="1"/>
  <c r="AB3" i="6" a="1"/>
  <c r="AB3" i="6" s="1"/>
  <c r="G16" i="11" s="1"/>
  <c r="Z15" i="9" a="1"/>
  <c r="Z15" i="9" s="1"/>
  <c r="H7" i="6" a="1"/>
  <c r="H7" i="6" s="1"/>
  <c r="K7" i="6" a="1"/>
  <c r="K7" i="6" s="1"/>
  <c r="H3" i="6" a="1"/>
  <c r="H3" i="6" s="1"/>
  <c r="Q12" i="9" a="1"/>
  <c r="Q12" i="9" s="1"/>
  <c r="Y7" i="6" a="1"/>
  <c r="Y7" i="6" s="1"/>
  <c r="F5" i="11" s="1"/>
  <c r="AB5" i="9" a="1"/>
  <c r="AB5" i="9" s="1"/>
  <c r="V16" i="9" a="1"/>
  <c r="V16" i="9" s="1"/>
  <c r="N3" i="9" a="1"/>
  <c r="N3" i="9" s="1"/>
  <c r="Y15" i="9" a="1"/>
  <c r="Y15" i="9" s="1"/>
  <c r="V17" i="9" a="1"/>
  <c r="V17" i="9" s="1"/>
  <c r="J11" i="9" a="1"/>
  <c r="J11" i="9" s="1"/>
  <c r="W17" i="9" a="1"/>
  <c r="W17" i="9" s="1"/>
  <c r="N7" i="9" a="1"/>
  <c r="N7" i="9" s="1"/>
  <c r="Z4" i="6" a="1"/>
  <c r="Z4" i="6" s="1"/>
  <c r="AB13" i="9" a="1"/>
  <c r="AB13" i="9" s="1"/>
  <c r="AA10" i="9" a="1"/>
  <c r="AA10" i="9" s="1"/>
  <c r="L19" i="9" a="1"/>
  <c r="L19" i="9" s="1"/>
  <c r="AB3" i="9" a="1"/>
  <c r="AB3" i="9" s="1"/>
  <c r="N9" i="9" a="1"/>
  <c r="N9" i="9" s="1"/>
  <c r="AA4" i="6" a="1"/>
  <c r="AA4" i="6" s="1"/>
  <c r="G9" i="11" s="1"/>
  <c r="C7" i="6" a="1"/>
  <c r="C7" i="6" s="1"/>
  <c r="E7" i="6" s="1" a="1"/>
  <c r="E7" i="6" s="1"/>
  <c r="AA16" i="9" a="1"/>
  <c r="AA16" i="9" s="1"/>
  <c r="M11" i="9" a="1"/>
  <c r="M11" i="9" s="1"/>
  <c r="X5" i="6" a="1"/>
  <c r="X5" i="6" s="1"/>
  <c r="F13" i="11" s="1"/>
  <c r="M5" i="9" a="1"/>
  <c r="M5" i="9" s="1"/>
  <c r="R6" i="6" a="1"/>
  <c r="R6" i="6" s="1"/>
  <c r="AC7" i="9" a="1"/>
  <c r="AC7" i="9" s="1"/>
  <c r="W14" i="9" a="1"/>
  <c r="W14" i="9" s="1"/>
  <c r="K19" i="9" a="1"/>
  <c r="K19" i="9" s="1"/>
  <c r="Z20" i="9" a="1"/>
  <c r="Z20" i="9" s="1"/>
  <c r="W12" i="9" a="1"/>
  <c r="W12" i="9" s="1"/>
  <c r="N18" i="9" a="1"/>
  <c r="N18" i="9" s="1"/>
  <c r="AC3" i="6" a="1"/>
  <c r="AC3" i="6" s="1"/>
  <c r="G17" i="11" s="1"/>
  <c r="X12" i="9" a="1"/>
  <c r="X12" i="9" s="1"/>
  <c r="N11" i="9" a="1"/>
  <c r="N11" i="9" s="1"/>
  <c r="AC6" i="6" a="1"/>
  <c r="AC6" i="6" s="1"/>
  <c r="G8" i="11" s="1"/>
  <c r="AC19" i="9" a="1"/>
  <c r="AC19" i="9" s="1"/>
  <c r="AB15" i="9" a="1"/>
  <c r="AB15" i="9" s="1"/>
  <c r="J6" i="9" a="1"/>
  <c r="J6" i="9" s="1"/>
  <c r="AC13" i="9" a="1"/>
  <c r="AC13" i="9" s="1"/>
  <c r="P5" i="9" a="1"/>
  <c r="P5" i="9" s="1"/>
  <c r="O7" i="6" a="1"/>
  <c r="O7" i="6" s="1"/>
  <c r="D3" i="11" s="1"/>
  <c r="L13" i="9" a="1"/>
  <c r="L13" i="9" s="1"/>
  <c r="AB14" i="9" a="1"/>
  <c r="AB14" i="9" s="1"/>
  <c r="O18" i="9" a="1"/>
  <c r="O18" i="9" s="1"/>
  <c r="X4" i="6" a="1"/>
  <c r="X4" i="6" s="1"/>
  <c r="F10" i="11" s="1"/>
  <c r="O7" i="9" a="1"/>
  <c r="O7" i="9" s="1"/>
  <c r="U4" i="6" a="1"/>
  <c r="U4" i="6" s="1"/>
  <c r="E11" i="11" s="1"/>
  <c r="AC11" i="9" a="1"/>
  <c r="AC11" i="9" s="1"/>
  <c r="X3" i="9" a="1"/>
  <c r="X3" i="9" s="1"/>
  <c r="O8" i="9" a="1"/>
  <c r="O8" i="9" s="1"/>
  <c r="AA4" i="9" a="1"/>
  <c r="AA4" i="9" s="1"/>
  <c r="W16" i="9" a="1"/>
  <c r="W16" i="9" s="1"/>
  <c r="P10" i="9" a="1"/>
  <c r="P10" i="9" s="1"/>
  <c r="P6" i="6" a="1"/>
  <c r="P6" i="6" s="1"/>
  <c r="X16" i="9" a="1"/>
  <c r="X16" i="9" s="1"/>
  <c r="P18" i="9" a="1"/>
  <c r="P18" i="9" s="1"/>
  <c r="P4" i="6" a="1"/>
  <c r="P4" i="6" s="1"/>
  <c r="D10" i="11" s="1"/>
  <c r="Z6" i="6" a="1"/>
  <c r="Z6" i="6" s="1"/>
  <c r="AC20" i="9" a="1"/>
  <c r="AC20" i="9" s="1"/>
  <c r="N8" i="9" a="1"/>
  <c r="N8" i="9" s="1"/>
  <c r="Z7" i="6" a="1"/>
  <c r="Z7" i="6" s="1"/>
  <c r="K7" i="9" a="1"/>
  <c r="K7" i="9" s="1"/>
  <c r="Q5" i="6" a="1"/>
  <c r="Q5" i="6" s="1"/>
  <c r="J19" i="9" a="1"/>
  <c r="J19" i="9" s="1"/>
  <c r="AC3" i="9" a="1"/>
  <c r="AC3" i="9" s="1"/>
  <c r="Q10" i="9" a="1"/>
  <c r="Q10" i="9" s="1"/>
  <c r="J13" i="9" a="1"/>
  <c r="J13" i="9" s="1"/>
  <c r="O11" i="9" a="1"/>
  <c r="O11" i="9" s="1"/>
  <c r="Y3" i="6" a="1"/>
  <c r="Y3" i="6" s="1"/>
  <c r="F17" i="11" s="1"/>
  <c r="Y13" i="9" a="1"/>
  <c r="Y13" i="9" s="1"/>
  <c r="X14" i="9" a="1"/>
  <c r="X14" i="9" s="1"/>
  <c r="K10" i="9" a="1"/>
  <c r="K10" i="9" s="1"/>
  <c r="T3" i="6" a="1"/>
  <c r="T3" i="6" s="1"/>
  <c r="E16" i="11" s="1"/>
  <c r="AC5" i="6" a="1"/>
  <c r="AC5" i="6" s="1"/>
  <c r="G14" i="11" s="1"/>
  <c r="Z5" i="6" a="1"/>
  <c r="Z5" i="6" s="1"/>
  <c r="P17" i="9" a="1"/>
  <c r="P17" i="9" s="1"/>
  <c r="O3" i="6" a="1"/>
  <c r="O3" i="6" s="1"/>
  <c r="D15" i="11" s="1"/>
  <c r="U3" i="6" a="1"/>
  <c r="U3" i="6" s="1"/>
  <c r="E17" i="11" s="1"/>
  <c r="N6" i="9" a="1"/>
  <c r="N6" i="9" s="1"/>
  <c r="AA6" i="6" a="1"/>
  <c r="AA6" i="6" s="1"/>
  <c r="G6" i="11" s="1"/>
  <c r="V15" i="9" a="1"/>
  <c r="V15" i="9" s="1"/>
  <c r="M2" i="7" a="1"/>
  <c r="M2" i="7" s="1"/>
  <c r="G6" i="7" a="1"/>
  <c r="G6" i="7" s="1"/>
  <c r="K2" i="7" a="1"/>
  <c r="K2" i="7" s="1"/>
  <c r="M14" i="7" a="1"/>
  <c r="M14" i="7" s="1"/>
  <c r="D2" i="7" a="1"/>
  <c r="D2" i="7" s="1"/>
  <c r="L13" i="7" a="1"/>
  <c r="L13" i="7" s="1"/>
  <c r="J2" i="7"/>
  <c r="L14" i="7" a="1"/>
  <c r="L14" i="7" s="1"/>
  <c r="E14" i="7" a="1"/>
  <c r="E14" i="7" s="1"/>
  <c r="F13" i="7" a="1"/>
  <c r="F13" i="7" s="1"/>
  <c r="D13" i="7" a="1"/>
  <c r="D13" i="7" s="1"/>
  <c r="G13" i="7" a="1"/>
  <c r="G13" i="7" s="1"/>
  <c r="H14" i="7" a="1"/>
  <c r="H14" i="7" s="1"/>
  <c r="F14" i="7" a="1"/>
  <c r="F14" i="7" s="1"/>
  <c r="I14" i="7" a="1"/>
  <c r="I14" i="7" s="1"/>
  <c r="D14" i="7" a="1"/>
  <c r="D14" i="7" s="1"/>
  <c r="I11" i="7" a="1"/>
  <c r="I11" i="7" s="1"/>
  <c r="C18" i="5" a="1"/>
  <c r="C18" i="5" s="1"/>
  <c r="H11" i="7" a="1"/>
  <c r="H11" i="7" s="1"/>
  <c r="C23" i="5" a="1"/>
  <c r="C23" i="5" s="1"/>
  <c r="C7" i="5" a="1"/>
  <c r="C7" i="5" s="1"/>
  <c r="I6" i="2" a="1"/>
  <c r="I6" i="2" s="1"/>
  <c r="C14" i="5" a="1"/>
  <c r="C14" i="5" s="1"/>
  <c r="I2" i="2" a="1"/>
  <c r="I2" i="2" s="1"/>
  <c r="C6" i="5" a="1"/>
  <c r="C6" i="5" s="1"/>
  <c r="H6" i="5" s="1" a="1"/>
  <c r="H6" i="5" s="1"/>
  <c r="C5" i="5" a="1"/>
  <c r="C5" i="5" s="1"/>
  <c r="I6" i="7" a="1"/>
  <c r="I6" i="7" s="1"/>
  <c r="I20" i="2" a="1"/>
  <c r="I20" i="2" s="1"/>
  <c r="H6" i="7" a="1"/>
  <c r="H6" i="7" s="1"/>
  <c r="H21" i="2" a="1"/>
  <c r="H21" i="2" s="1"/>
  <c r="L8" i="7" a="1"/>
  <c r="L8" i="7" s="1"/>
  <c r="J4" i="2" a="1"/>
  <c r="J4" i="2" s="1"/>
  <c r="I3" i="2" a="1"/>
  <c r="I3" i="2" s="1"/>
  <c r="M8" i="7" a="1"/>
  <c r="M8" i="7" s="1"/>
  <c r="J24" i="2" a="1"/>
  <c r="J24" i="2" s="1"/>
  <c r="J18" i="2" a="1"/>
  <c r="J18" i="2" s="1"/>
  <c r="J6" i="2" a="1"/>
  <c r="J6" i="2" s="1"/>
  <c r="C31" i="5" a="1"/>
  <c r="C31" i="5" s="1"/>
  <c r="I31" i="5" s="1" a="1"/>
  <c r="I31" i="5" s="1"/>
  <c r="H13" i="2" a="1"/>
  <c r="H13" i="2" s="1"/>
  <c r="F9" i="7" a="1"/>
  <c r="F9" i="7" s="1"/>
  <c r="I12" i="2" a="1"/>
  <c r="I12" i="2" s="1"/>
  <c r="H14" i="2" a="1"/>
  <c r="H14" i="2" s="1"/>
  <c r="H4" i="2" a="1"/>
  <c r="H4" i="2" s="1"/>
  <c r="J26" i="2" a="1"/>
  <c r="J26" i="2" s="1"/>
  <c r="I16" i="2" a="1"/>
  <c r="I16" i="2" s="1"/>
  <c r="J15" i="2" a="1"/>
  <c r="J15" i="2" s="1"/>
  <c r="G8" i="7" a="1"/>
  <c r="G8" i="7" s="1"/>
  <c r="F4" i="7" a="1"/>
  <c r="F4" i="7" s="1"/>
  <c r="C29" i="5" a="1"/>
  <c r="C29" i="5" s="1"/>
  <c r="C25" i="5" a="1"/>
  <c r="C25" i="5" s="1"/>
  <c r="H25" i="5" s="1" a="1"/>
  <c r="H25" i="5" s="1"/>
  <c r="C17" i="5" a="1"/>
  <c r="C17" i="5" s="1"/>
  <c r="C28" i="5" a="1"/>
  <c r="C28" i="5" s="1"/>
  <c r="G28" i="5" s="1" a="1"/>
  <c r="G28" i="5" s="1"/>
  <c r="I8" i="2" a="1"/>
  <c r="I8" i="2" s="1"/>
  <c r="G11" i="7" a="1"/>
  <c r="G11" i="7" s="1"/>
  <c r="C16" i="5" a="1"/>
  <c r="C16" i="5" s="1"/>
  <c r="C13" i="5" a="1"/>
  <c r="C13" i="5" s="1"/>
  <c r="I13" i="5" s="1" a="1"/>
  <c r="I13" i="5" s="1"/>
  <c r="C20" i="5" a="1"/>
  <c r="C20" i="5" s="1"/>
  <c r="C12" i="5" a="1"/>
  <c r="C12" i="5" s="1"/>
  <c r="H12" i="5" s="1" a="1"/>
  <c r="H12" i="5" s="1"/>
  <c r="H18" i="2" a="1"/>
  <c r="H18" i="2" s="1"/>
  <c r="H8" i="7" a="1"/>
  <c r="H8" i="7" s="1"/>
  <c r="C3" i="5" a="1"/>
  <c r="C3" i="5" s="1"/>
  <c r="F3" i="5" s="1" a="1"/>
  <c r="F3" i="5" s="1"/>
  <c r="H11" i="2" a="1"/>
  <c r="H11" i="2" s="1"/>
  <c r="I18" i="2" a="1"/>
  <c r="I18" i="2" s="1"/>
  <c r="D9" i="7" a="1"/>
  <c r="D9" i="7" s="1"/>
  <c r="D11" i="7" a="1"/>
  <c r="D11" i="7" s="1"/>
  <c r="I23" i="2" a="1"/>
  <c r="I23" i="2" s="1"/>
  <c r="J22" i="2" a="1"/>
  <c r="J22" i="2" s="1"/>
  <c r="C22" i="5" a="1"/>
  <c r="C22" i="5" s="1"/>
  <c r="C4" i="5" a="1"/>
  <c r="C4" i="5" s="1"/>
  <c r="C19" i="5" a="1"/>
  <c r="C19" i="5" s="1"/>
  <c r="D19" i="5" s="1" a="1"/>
  <c r="D19" i="5" s="1"/>
  <c r="C30" i="5" a="1"/>
  <c r="C30" i="5" s="1"/>
  <c r="C15" i="5" a="1"/>
  <c r="C15" i="5" s="1"/>
  <c r="E15" i="5" s="1" a="1"/>
  <c r="E15" i="5" s="1"/>
  <c r="C24" i="5" a="1"/>
  <c r="C24" i="5" s="1"/>
  <c r="C8" i="5" a="1"/>
  <c r="C8" i="5" s="1"/>
  <c r="C9" i="5" a="1"/>
  <c r="C9" i="5" s="1"/>
  <c r="F9" i="5" s="1" a="1"/>
  <c r="F9" i="5" s="1"/>
  <c r="C10" i="5" a="1"/>
  <c r="C10" i="5" s="1"/>
  <c r="C21" i="5" a="1"/>
  <c r="C21" i="5" s="1"/>
  <c r="E21" i="5" s="1" a="1"/>
  <c r="E21" i="5" s="1"/>
  <c r="C27" i="5" a="1"/>
  <c r="C27" i="5" s="1"/>
  <c r="G27" i="5" s="1" a="1"/>
  <c r="G27" i="5" s="1"/>
  <c r="J25" i="2" a="1"/>
  <c r="J25" i="2" s="1"/>
  <c r="G4" i="7" a="1"/>
  <c r="G4" i="7" s="1"/>
  <c r="I4" i="7" a="1"/>
  <c r="I4" i="7" s="1"/>
  <c r="I26" i="2" a="1"/>
  <c r="I26" i="2" s="1"/>
  <c r="K9" i="7" a="1"/>
  <c r="K9" i="7" s="1"/>
  <c r="H9" i="7" a="1"/>
  <c r="H9" i="7" s="1"/>
  <c r="J8" i="2" a="1"/>
  <c r="J8" i="2" s="1"/>
  <c r="K8" i="2" s="1"/>
  <c r="C11" i="5" a="1"/>
  <c r="C11" i="5" s="1"/>
  <c r="D11" i="5" s="1" a="1"/>
  <c r="D11" i="5" s="1"/>
  <c r="R11" i="5" s="1" a="1"/>
  <c r="R11" i="5" s="1"/>
  <c r="J5" i="2" a="1"/>
  <c r="J5" i="2" s="1"/>
  <c r="D4" i="7" a="1"/>
  <c r="D4" i="7" s="1"/>
  <c r="M9" i="7" a="1"/>
  <c r="M9" i="7" s="1"/>
  <c r="C26" i="5" a="1"/>
  <c r="C26" i="5" s="1"/>
  <c r="D26" i="5" s="1" a="1"/>
  <c r="D26" i="5" s="1"/>
  <c r="Q26" i="5" s="1" a="1"/>
  <c r="Q26" i="5" s="1"/>
  <c r="J23" i="2" a="1"/>
  <c r="J23" i="2" s="1"/>
  <c r="K23" i="2" s="1"/>
  <c r="I22" i="2" a="1"/>
  <c r="I22" i="2" s="1"/>
  <c r="K22" i="2" s="1"/>
  <c r="G9" i="7" a="1"/>
  <c r="G9" i="7" s="1"/>
  <c r="I4" i="2" a="1"/>
  <c r="I4" i="2" s="1"/>
  <c r="K4" i="2" s="1"/>
  <c r="L9" i="7" a="1"/>
  <c r="L9" i="7" s="1"/>
  <c r="I9" i="7" a="1"/>
  <c r="I9" i="7" s="1"/>
  <c r="L4" i="7" a="1"/>
  <c r="L4" i="7" s="1"/>
  <c r="E11" i="7" a="1"/>
  <c r="E11" i="7" s="1"/>
  <c r="F8" i="7" a="1"/>
  <c r="F8" i="7" s="1"/>
  <c r="M4" i="7" a="1"/>
  <c r="M4" i="7" s="1"/>
  <c r="J14" i="7"/>
  <c r="E13" i="7" a="1"/>
  <c r="E13" i="7" s="1"/>
  <c r="R6" i="5" a="1"/>
  <c r="R6" i="5" s="1"/>
  <c r="Q28" i="5" a="1"/>
  <c r="Q28" i="5" s="1"/>
  <c r="I13" i="7" a="1"/>
  <c r="I13" i="7" s="1"/>
  <c r="J13" i="7" s="1"/>
  <c r="J11" i="7"/>
  <c r="M13" i="7" a="1"/>
  <c r="M13" i="7" s="1"/>
  <c r="K13" i="7" a="1"/>
  <c r="K13" i="7" s="1"/>
  <c r="J17" i="2" a="1"/>
  <c r="J17" i="2" s="1"/>
  <c r="J3" i="2" a="1"/>
  <c r="J3" i="2" s="1"/>
  <c r="K3" i="2" s="1"/>
  <c r="I8" i="7" a="1"/>
  <c r="I8" i="7" s="1"/>
  <c r="I14" i="2" a="1"/>
  <c r="I14" i="2" s="1"/>
  <c r="R26" i="5" a="1"/>
  <c r="R26" i="5" s="1"/>
  <c r="H26" i="2" a="1"/>
  <c r="H26" i="2" s="1"/>
  <c r="H9" i="2" a="1"/>
  <c r="H9" i="2" s="1"/>
  <c r="J10" i="2" a="1"/>
  <c r="J10" i="2" s="1"/>
  <c r="J21" i="2" a="1"/>
  <c r="J21" i="2" s="1"/>
  <c r="R5" i="5" a="1"/>
  <c r="R5" i="5" s="1"/>
  <c r="H10" i="2" a="1"/>
  <c r="H10" i="2" s="1"/>
  <c r="I13" i="2" a="1"/>
  <c r="I13" i="2" s="1"/>
  <c r="H12" i="2" a="1"/>
  <c r="H12" i="2" s="1"/>
  <c r="C2" i="5" a="1"/>
  <c r="C2" i="5" s="1"/>
  <c r="H7" i="2" a="1"/>
  <c r="H7" i="2" s="1"/>
  <c r="H24" i="2" a="1"/>
  <c r="H24" i="2" s="1"/>
  <c r="J2" i="2" a="1"/>
  <c r="J2" i="2" s="1"/>
  <c r="R14" i="5" a="1"/>
  <c r="R14" i="5" s="1"/>
  <c r="R21" i="5" a="1"/>
  <c r="R21" i="5" s="1"/>
  <c r="H25" i="2" a="1"/>
  <c r="H25" i="2" s="1"/>
  <c r="I9" i="2" a="1"/>
  <c r="I9" i="2" s="1"/>
  <c r="J12" i="2" a="1"/>
  <c r="J12" i="2" s="1"/>
  <c r="K12" i="2" s="1"/>
  <c r="H2" i="2" a="1"/>
  <c r="H2" i="2" s="1"/>
  <c r="I10" i="2" a="1"/>
  <c r="I10" i="2" s="1"/>
  <c r="H15" i="2" a="1"/>
  <c r="H15" i="2" s="1"/>
  <c r="E12" i="7" a="1"/>
  <c r="E12" i="7" s="1"/>
  <c r="K12" i="7" a="1"/>
  <c r="K12" i="7" s="1"/>
  <c r="H23" i="2" a="1"/>
  <c r="H23" i="2" s="1"/>
  <c r="H6" i="2" a="1"/>
  <c r="H6" i="2" s="1"/>
  <c r="H5" i="2" a="1"/>
  <c r="H5" i="2" s="1"/>
  <c r="M6" i="7" a="1"/>
  <c r="M6" i="7" s="1"/>
  <c r="M12" i="7" a="1"/>
  <c r="M12" i="7" s="1"/>
  <c r="L7" i="7" a="1"/>
  <c r="L7" i="7" s="1"/>
  <c r="H27" i="2" a="1"/>
  <c r="H27" i="2" s="1"/>
  <c r="I7" i="2" a="1"/>
  <c r="I7" i="2" s="1"/>
  <c r="H19" i="2" a="1"/>
  <c r="H19" i="2" s="1"/>
  <c r="G12" i="7" a="1"/>
  <c r="G12" i="7" s="1"/>
  <c r="K7" i="7" a="1"/>
  <c r="K7" i="7" s="1"/>
  <c r="G7" i="7" a="1"/>
  <c r="G7" i="7" s="1"/>
  <c r="J11" i="2" a="1"/>
  <c r="J11" i="2" s="1"/>
  <c r="J19" i="2" a="1"/>
  <c r="J19" i="2" s="1"/>
  <c r="J20" i="2" a="1"/>
  <c r="J20" i="2" s="1"/>
  <c r="K20" i="2" s="1"/>
  <c r="L12" i="7" a="1"/>
  <c r="L12" i="7" s="1"/>
  <c r="H8" i="2" a="1"/>
  <c r="H8" i="2" s="1"/>
  <c r="I5" i="2" a="1"/>
  <c r="I5" i="2" s="1"/>
  <c r="K5" i="2" s="1"/>
  <c r="J13" i="2" a="1"/>
  <c r="J13" i="2" s="1"/>
  <c r="Q30" i="5" a="1"/>
  <c r="Q30" i="5" s="1"/>
  <c r="L6" i="7" a="1"/>
  <c r="L6" i="7" s="1"/>
  <c r="I12" i="7" a="1"/>
  <c r="I12" i="7" s="1"/>
  <c r="H22" i="2" a="1"/>
  <c r="H22" i="2" s="1"/>
  <c r="J27" i="2" a="1"/>
  <c r="J27" i="2" s="1"/>
  <c r="J14" i="2" a="1"/>
  <c r="J14" i="2" s="1"/>
  <c r="K14" i="2" s="1"/>
  <c r="H12" i="7" a="1"/>
  <c r="H12" i="7" s="1"/>
  <c r="I27" i="2" a="1"/>
  <c r="I27" i="2" s="1"/>
  <c r="I24" i="2" a="1"/>
  <c r="I24" i="2" s="1"/>
  <c r="K24" i="2" s="1"/>
  <c r="H16" i="2" a="1"/>
  <c r="H16" i="2" s="1"/>
  <c r="Q27" i="5" a="1"/>
  <c r="Q27" i="5" s="1"/>
  <c r="F7" i="7" a="1"/>
  <c r="F7" i="7" s="1"/>
  <c r="Q29" i="5" a="1"/>
  <c r="Q29" i="5" s="1"/>
  <c r="I25" i="2" a="1"/>
  <c r="I25" i="2" s="1"/>
  <c r="K25" i="2" s="1"/>
  <c r="J9" i="2" a="1"/>
  <c r="J9" i="2" s="1"/>
  <c r="K9" i="2" s="1"/>
  <c r="H17" i="2" a="1"/>
  <c r="H17" i="2" s="1"/>
  <c r="Q31" i="5" a="1"/>
  <c r="Q31" i="5" s="1"/>
  <c r="H7" i="7" a="1"/>
  <c r="H7" i="7" s="1"/>
  <c r="H20" i="2" a="1"/>
  <c r="H20" i="2" s="1"/>
  <c r="I21" i="2" a="1"/>
  <c r="I21" i="2" s="1"/>
  <c r="K21" i="2" s="1"/>
  <c r="J7" i="2" a="1"/>
  <c r="J7" i="2" s="1"/>
  <c r="K7" i="2" s="1"/>
  <c r="F12" i="7" a="1"/>
  <c r="F12" i="7" s="1"/>
  <c r="H3" i="2" a="1"/>
  <c r="H3" i="2" s="1"/>
  <c r="I19" i="2" a="1"/>
  <c r="I19" i="2" s="1"/>
  <c r="I11" i="2" a="1"/>
  <c r="I11" i="2" s="1"/>
  <c r="I7" i="7" a="1"/>
  <c r="I7" i="7" s="1"/>
  <c r="I15" i="2" a="1"/>
  <c r="I15" i="2" s="1"/>
  <c r="K15" i="2" s="1"/>
  <c r="I17" i="2" a="1"/>
  <c r="I17" i="2" s="1"/>
  <c r="J16" i="2" a="1"/>
  <c r="J16" i="2" s="1"/>
  <c r="K16" i="2" s="1"/>
  <c r="M7" i="7" a="1"/>
  <c r="M7" i="7" s="1"/>
  <c r="K8" i="7" a="1"/>
  <c r="K8" i="7" s="1"/>
  <c r="D8" i="7" a="1"/>
  <c r="D8" i="7" s="1"/>
  <c r="K10" i="7" a="1"/>
  <c r="K10" i="7" s="1"/>
  <c r="L10" i="7" a="1"/>
  <c r="L10" i="7" s="1"/>
  <c r="I10" i="7" a="1"/>
  <c r="I10" i="7" s="1"/>
  <c r="G10" i="7" a="1"/>
  <c r="G10" i="7" s="1"/>
  <c r="H10" i="7" a="1"/>
  <c r="H10" i="7" s="1"/>
  <c r="F10" i="7" a="1"/>
  <c r="F10" i="7" s="1"/>
  <c r="E10" i="7" a="1"/>
  <c r="E10" i="7" s="1"/>
  <c r="D10" i="7" a="1"/>
  <c r="D10" i="7" s="1"/>
  <c r="M10" i="7" a="1"/>
  <c r="M10" i="7" s="1"/>
  <c r="F11" i="7" a="1"/>
  <c r="F11" i="7" s="1"/>
  <c r="M11" i="7" a="1"/>
  <c r="M11" i="7" s="1"/>
  <c r="K11" i="7" a="1"/>
  <c r="K11" i="7" s="1"/>
  <c r="H4" i="7" a="1"/>
  <c r="H4" i="7" s="1"/>
  <c r="J4" i="7" s="1"/>
  <c r="K4" i="7" a="1"/>
  <c r="K4" i="7" s="1"/>
  <c r="G3" i="5" a="1"/>
  <c r="G3" i="5" s="1"/>
  <c r="M5" i="7" a="1"/>
  <c r="M5" i="7" s="1"/>
  <c r="G5" i="7" a="1"/>
  <c r="G5" i="7" s="1"/>
  <c r="I5" i="7" a="1"/>
  <c r="I5" i="7" s="1"/>
  <c r="E5" i="7" a="1"/>
  <c r="E5" i="7" s="1"/>
  <c r="K5" i="7" a="1"/>
  <c r="K5" i="7" s="1"/>
  <c r="F5" i="7" a="1"/>
  <c r="F5" i="7" s="1"/>
  <c r="H5" i="7" a="1"/>
  <c r="H5" i="7" s="1"/>
  <c r="D5" i="7" a="1"/>
  <c r="D5" i="7" s="1"/>
  <c r="L3" i="7" a="1"/>
  <c r="L3" i="7" s="1"/>
  <c r="H3" i="7" a="1"/>
  <c r="H3" i="7" s="1"/>
  <c r="K3" i="7" a="1"/>
  <c r="K3" i="7" s="1"/>
  <c r="E3" i="7" a="1"/>
  <c r="E3" i="7" s="1"/>
  <c r="G3" i="7" a="1"/>
  <c r="G3" i="7" s="1"/>
  <c r="F3" i="7" a="1"/>
  <c r="F3" i="7" s="1"/>
  <c r="M3" i="7" a="1"/>
  <c r="M3" i="7" s="1"/>
  <c r="I3" i="7" a="1"/>
  <c r="I3" i="7" s="1"/>
  <c r="F6" i="7" a="1"/>
  <c r="F6" i="7" s="1"/>
  <c r="K6" i="7" a="1"/>
  <c r="K6" i="7" s="1"/>
  <c r="E6" i="7" a="1"/>
  <c r="E6" i="7" s="1"/>
  <c r="J6" i="7"/>
  <c r="Q11" i="5" a="1"/>
  <c r="Q11" i="5" s="1"/>
  <c r="J12" i="7"/>
  <c r="K18" i="2"/>
  <c r="F13" i="5" a="1"/>
  <c r="F13" i="5" s="1"/>
  <c r="G25" i="5" a="1"/>
  <c r="G25" i="5" s="1"/>
  <c r="E12" i="5" a="1"/>
  <c r="E12" i="5" s="1"/>
  <c r="D28" i="5" a="1"/>
  <c r="D28" i="5" s="1"/>
  <c r="R28" i="5" s="1" a="1"/>
  <c r="R28" i="5" s="1"/>
  <c r="E6" i="5" a="1"/>
  <c r="E6" i="5" s="1"/>
  <c r="I25" i="5" a="1"/>
  <c r="I25" i="5" s="1"/>
  <c r="J25" i="5" s="1"/>
  <c r="D25" i="5" a="1"/>
  <c r="D25" i="5" s="1"/>
  <c r="F6" i="5" a="1"/>
  <c r="F6" i="5" s="1"/>
  <c r="I6" i="5" a="1"/>
  <c r="I6" i="5" s="1"/>
  <c r="J6" i="5" s="1"/>
  <c r="F28" i="5" a="1"/>
  <c r="F28" i="5" s="1"/>
  <c r="I28" i="5" a="1"/>
  <c r="I28" i="5" s="1"/>
  <c r="G6" i="5" a="1"/>
  <c r="G6" i="5" s="1"/>
  <c r="I12" i="5" a="1"/>
  <c r="I12" i="5" s="1"/>
  <c r="J12" i="5" s="1"/>
  <c r="F11" i="5" a="1"/>
  <c r="F11" i="5" s="1"/>
  <c r="F15" i="5" a="1"/>
  <c r="F15" i="5" s="1"/>
  <c r="I26" i="5" a="1"/>
  <c r="I26" i="5" s="1"/>
  <c r="H26" i="5" a="1"/>
  <c r="H26" i="5" s="1"/>
  <c r="E28" i="5" a="1"/>
  <c r="E28" i="5" s="1"/>
  <c r="E13" i="5" a="1"/>
  <c r="E13" i="5" s="1"/>
  <c r="F26" i="5" a="1"/>
  <c r="F26" i="5" s="1"/>
  <c r="G26" i="5" a="1"/>
  <c r="G26" i="5" s="1"/>
  <c r="L23" i="5" a="1"/>
  <c r="L23" i="5" s="1"/>
  <c r="O23" i="5" s="1" a="1"/>
  <c r="O23" i="5" s="1"/>
  <c r="K23" i="5" a="1"/>
  <c r="K23" i="5" s="1"/>
  <c r="N23" i="5" s="1" a="1"/>
  <c r="N23" i="5" s="1"/>
  <c r="M23" i="5" a="1"/>
  <c r="M23" i="5" s="1"/>
  <c r="G17" i="5" a="1"/>
  <c r="G17" i="5" s="1"/>
  <c r="M17" i="5" a="1"/>
  <c r="M17" i="5" s="1"/>
  <c r="K17" i="5" a="1"/>
  <c r="K17" i="5" s="1"/>
  <c r="L17" i="5" a="1"/>
  <c r="L17" i="5" s="1"/>
  <c r="O17" i="5" s="1" a="1"/>
  <c r="O17" i="5" s="1"/>
  <c r="I9" i="5" a="1"/>
  <c r="I9" i="5" s="1"/>
  <c r="M9" i="5" a="1"/>
  <c r="M9" i="5" s="1"/>
  <c r="P9" i="5" s="1" a="1"/>
  <c r="P9" i="5" s="1"/>
  <c r="L9" i="5" a="1"/>
  <c r="L9" i="5" s="1"/>
  <c r="O9" i="5" s="1" a="1"/>
  <c r="O9" i="5" s="1"/>
  <c r="L10" i="5" a="1"/>
  <c r="L10" i="5" s="1"/>
  <c r="O10" i="5" s="1" a="1"/>
  <c r="O10" i="5" s="1"/>
  <c r="M10" i="5" a="1"/>
  <c r="M10" i="5" s="1"/>
  <c r="K10" i="5" a="1"/>
  <c r="K10" i="5" s="1"/>
  <c r="M21" i="5" a="1"/>
  <c r="M21" i="5" s="1"/>
  <c r="P21" i="5" s="1" a="1"/>
  <c r="P21" i="5" s="1"/>
  <c r="L21" i="5" a="1"/>
  <c r="L21" i="5" s="1"/>
  <c r="O21" i="5" s="1" a="1"/>
  <c r="O21" i="5" s="1"/>
  <c r="K21" i="5" a="1"/>
  <c r="K21" i="5" s="1"/>
  <c r="M4" i="5" a="1"/>
  <c r="M4" i="5" s="1"/>
  <c r="P4" i="5" s="1" a="1"/>
  <c r="P4" i="5" s="1"/>
  <c r="L4" i="5" a="1"/>
  <c r="L4" i="5" s="1"/>
  <c r="O4" i="5" s="1" a="1"/>
  <c r="O4" i="5" s="1"/>
  <c r="K4" i="5" a="1"/>
  <c r="K4" i="5" s="1"/>
  <c r="N4" i="5" s="1" a="1"/>
  <c r="N4" i="5" s="1"/>
  <c r="I8" i="5" a="1"/>
  <c r="I8" i="5" s="1"/>
  <c r="L8" i="5" a="1"/>
  <c r="L8" i="5" s="1"/>
  <c r="O8" i="5" s="1" a="1"/>
  <c r="O8" i="5" s="1"/>
  <c r="K8" i="5" a="1"/>
  <c r="K8" i="5" s="1"/>
  <c r="M8" i="5" a="1"/>
  <c r="M8" i="5" s="1"/>
  <c r="I20" i="5" a="1"/>
  <c r="I20" i="5" s="1"/>
  <c r="M20" i="5" a="1"/>
  <c r="M20" i="5" s="1"/>
  <c r="L20" i="5" a="1"/>
  <c r="L20" i="5" s="1"/>
  <c r="O20" i="5" s="1" a="1"/>
  <c r="O20" i="5" s="1"/>
  <c r="K20" i="5" a="1"/>
  <c r="K20" i="5" s="1"/>
  <c r="I30" i="5" a="1"/>
  <c r="I30" i="5" s="1"/>
  <c r="K30" i="5" a="1"/>
  <c r="K30" i="5" s="1"/>
  <c r="N30" i="5" s="1" a="1"/>
  <c r="N30" i="5" s="1"/>
  <c r="M30" i="5" a="1"/>
  <c r="M30" i="5" s="1"/>
  <c r="L30" i="5" a="1"/>
  <c r="L30" i="5" s="1"/>
  <c r="O30" i="5" s="1" a="1"/>
  <c r="O30" i="5" s="1"/>
  <c r="K31" i="5" a="1"/>
  <c r="K31" i="5" s="1"/>
  <c r="N31" i="5" s="1" a="1"/>
  <c r="N31" i="5" s="1"/>
  <c r="L31" i="5" a="1"/>
  <c r="L31" i="5" s="1"/>
  <c r="O31" i="5" s="1" a="1"/>
  <c r="O31" i="5" s="1"/>
  <c r="M31" i="5" a="1"/>
  <c r="M31" i="5" s="1"/>
  <c r="G24" i="5" a="1"/>
  <c r="G24" i="5" s="1"/>
  <c r="L24" i="5" a="1"/>
  <c r="L24" i="5" s="1"/>
  <c r="O24" i="5" s="1" a="1"/>
  <c r="O24" i="5" s="1"/>
  <c r="K24" i="5" a="1"/>
  <c r="K24" i="5" s="1"/>
  <c r="N24" i="5" s="1" a="1"/>
  <c r="N24" i="5" s="1"/>
  <c r="M24" i="5" a="1"/>
  <c r="M24" i="5" s="1"/>
  <c r="P24" i="5" s="1" a="1"/>
  <c r="P24" i="5" s="1"/>
  <c r="M7" i="5" a="1"/>
  <c r="M7" i="5" s="1"/>
  <c r="L7" i="5" a="1"/>
  <c r="L7" i="5" s="1"/>
  <c r="O7" i="5" s="1" a="1"/>
  <c r="O7" i="5" s="1"/>
  <c r="K7" i="5" a="1"/>
  <c r="K7" i="5" s="1"/>
  <c r="H31" i="5" a="1"/>
  <c r="H31" i="5" s="1"/>
  <c r="F25" i="5" a="1"/>
  <c r="F25" i="5" s="1"/>
  <c r="M25" i="5" a="1"/>
  <c r="M25" i="5" s="1"/>
  <c r="L25" i="5" a="1"/>
  <c r="L25" i="5" s="1"/>
  <c r="O25" i="5" s="1" a="1"/>
  <c r="O25" i="5" s="1"/>
  <c r="K25" i="5" a="1"/>
  <c r="K25" i="5" s="1"/>
  <c r="H19" i="5" a="1"/>
  <c r="H19" i="5" s="1"/>
  <c r="M19" i="5" a="1"/>
  <c r="M19" i="5" s="1"/>
  <c r="L19" i="5" a="1"/>
  <c r="L19" i="5" s="1"/>
  <c r="O19" i="5" s="1" a="1"/>
  <c r="O19" i="5" s="1"/>
  <c r="K19" i="5" a="1"/>
  <c r="K19" i="5" s="1"/>
  <c r="H28" i="5" a="1"/>
  <c r="H28" i="5" s="1"/>
  <c r="L28" i="5" a="1"/>
  <c r="L28" i="5" s="1"/>
  <c r="O28" i="5" s="1" a="1"/>
  <c r="O28" i="5" s="1"/>
  <c r="K28" i="5" a="1"/>
  <c r="K28" i="5" s="1"/>
  <c r="M28" i="5" a="1"/>
  <c r="M28" i="5" s="1"/>
  <c r="P28" i="5" s="1" a="1"/>
  <c r="P28" i="5" s="1"/>
  <c r="L2" i="5" a="1"/>
  <c r="L2" i="5" s="1"/>
  <c r="O2" i="5" s="1" a="1"/>
  <c r="O2" i="5" s="1"/>
  <c r="K2" i="5" a="1"/>
  <c r="K2" i="5" s="1"/>
  <c r="N2" i="5" s="1" a="1"/>
  <c r="N2" i="5" s="1"/>
  <c r="M2" i="5" a="1"/>
  <c r="M2" i="5" s="1"/>
  <c r="G13" i="5" a="1"/>
  <c r="G13" i="5" s="1"/>
  <c r="L13" i="5" a="1"/>
  <c r="L13" i="5" s="1"/>
  <c r="O13" i="5" s="1" a="1"/>
  <c r="O13" i="5" s="1"/>
  <c r="M13" i="5" a="1"/>
  <c r="M13" i="5" s="1"/>
  <c r="K13" i="5" a="1"/>
  <c r="K13" i="5" s="1"/>
  <c r="N13" i="5" s="1" a="1"/>
  <c r="N13" i="5" s="1"/>
  <c r="F18" i="5" a="1"/>
  <c r="F18" i="5" s="1"/>
  <c r="M18" i="5" a="1"/>
  <c r="M18" i="5" s="1"/>
  <c r="P18" i="5" s="1" a="1"/>
  <c r="P18" i="5" s="1"/>
  <c r="K18" i="5" a="1"/>
  <c r="K18" i="5" s="1"/>
  <c r="L18" i="5" a="1"/>
  <c r="L18" i="5" s="1"/>
  <c r="O18" i="5" s="1" a="1"/>
  <c r="O18" i="5" s="1"/>
  <c r="E14" i="5" a="1"/>
  <c r="E14" i="5" s="1"/>
  <c r="M14" i="5" a="1"/>
  <c r="M14" i="5" s="1"/>
  <c r="P14" i="5" s="1" a="1"/>
  <c r="P14" i="5" s="1"/>
  <c r="K14" i="5" a="1"/>
  <c r="K14" i="5" s="1"/>
  <c r="L14" i="5" a="1"/>
  <c r="L14" i="5" s="1"/>
  <c r="O14" i="5" s="1" a="1"/>
  <c r="O14" i="5" s="1"/>
  <c r="G12" i="5" a="1"/>
  <c r="G12" i="5" s="1"/>
  <c r="M12" i="5" a="1"/>
  <c r="M12" i="5" s="1"/>
  <c r="P12" i="5" s="1" a="1"/>
  <c r="P12" i="5" s="1"/>
  <c r="L12" i="5" a="1"/>
  <c r="L12" i="5" s="1"/>
  <c r="O12" i="5" s="1" a="1"/>
  <c r="O12" i="5" s="1"/>
  <c r="K12" i="5" a="1"/>
  <c r="K12" i="5" s="1"/>
  <c r="F27" i="5" a="1"/>
  <c r="F27" i="5" s="1"/>
  <c r="M27" i="5" a="1"/>
  <c r="M27" i="5" s="1"/>
  <c r="P27" i="5" s="1" a="1"/>
  <c r="P27" i="5" s="1"/>
  <c r="K27" i="5" a="1"/>
  <c r="K27" i="5" s="1"/>
  <c r="N27" i="5" s="1" a="1"/>
  <c r="N27" i="5" s="1"/>
  <c r="H30" i="5" a="1"/>
  <c r="H30" i="5" s="1"/>
  <c r="M5" i="5" a="1"/>
  <c r="M5" i="5" s="1"/>
  <c r="P5" i="5" s="1" a="1"/>
  <c r="P5" i="5" s="1"/>
  <c r="L5" i="5" a="1"/>
  <c r="L5" i="5" s="1"/>
  <c r="O5" i="5" s="1" a="1"/>
  <c r="O5" i="5" s="1"/>
  <c r="K5" i="5" a="1"/>
  <c r="K5" i="5" s="1"/>
  <c r="D6" i="5" a="1"/>
  <c r="D6" i="5" s="1"/>
  <c r="Q6" i="5" s="1" a="1"/>
  <c r="Q6" i="5" s="1"/>
  <c r="L6" i="5" a="1"/>
  <c r="L6" i="5" s="1"/>
  <c r="O6" i="5" s="1" a="1"/>
  <c r="O6" i="5" s="1"/>
  <c r="K6" i="5" a="1"/>
  <c r="K6" i="5" s="1"/>
  <c r="M6" i="5" a="1"/>
  <c r="M6" i="5" s="1"/>
  <c r="P6" i="5" s="1" a="1"/>
  <c r="P6" i="5" s="1"/>
  <c r="G16" i="5" a="1"/>
  <c r="G16" i="5" s="1"/>
  <c r="K16" i="5" a="1"/>
  <c r="K16" i="5" s="1"/>
  <c r="L16" i="5" a="1"/>
  <c r="L16" i="5" s="1"/>
  <c r="O16" i="5" s="1" a="1"/>
  <c r="O16" i="5" s="1"/>
  <c r="M16" i="5" a="1"/>
  <c r="M16" i="5" s="1"/>
  <c r="D22" i="5" a="1"/>
  <c r="D22" i="5" s="1"/>
  <c r="K22" i="5" a="1"/>
  <c r="K22" i="5" s="1"/>
  <c r="L22" i="5" a="1"/>
  <c r="L22" i="5" s="1"/>
  <c r="O22" i="5" s="1" a="1"/>
  <c r="O22" i="5" s="1"/>
  <c r="M22" i="5" a="1"/>
  <c r="M22" i="5" s="1"/>
  <c r="D3" i="5" a="1"/>
  <c r="D3" i="5" s="1"/>
  <c r="L3" i="5" a="1"/>
  <c r="L3" i="5" s="1"/>
  <c r="O3" i="5" s="1" a="1"/>
  <c r="O3" i="5" s="1"/>
  <c r="K3" i="5" a="1"/>
  <c r="K3" i="5" s="1"/>
  <c r="M3" i="5" a="1"/>
  <c r="M3" i="5" s="1"/>
  <c r="D13" i="5" a="1"/>
  <c r="D13" i="5" s="1"/>
  <c r="I11" i="5" a="1"/>
  <c r="I11" i="5" s="1"/>
  <c r="K11" i="5" a="1"/>
  <c r="K11" i="5" s="1"/>
  <c r="N11" i="5" s="1" a="1"/>
  <c r="N11" i="5" s="1"/>
  <c r="L11" i="5" a="1"/>
  <c r="L11" i="5" s="1"/>
  <c r="O11" i="5" s="1" a="1"/>
  <c r="O11" i="5" s="1"/>
  <c r="L26" i="5" a="1"/>
  <c r="L26" i="5" s="1"/>
  <c r="O26" i="5" s="1" a="1"/>
  <c r="O26" i="5" s="1"/>
  <c r="M26" i="5" a="1"/>
  <c r="M26" i="5" s="1"/>
  <c r="P26" i="5" s="1" a="1"/>
  <c r="P26" i="5" s="1"/>
  <c r="K26" i="5" a="1"/>
  <c r="K26" i="5" s="1"/>
  <c r="N26" i="5" s="1" a="1"/>
  <c r="N26" i="5" s="1"/>
  <c r="D30" i="5" a="1"/>
  <c r="D30" i="5" s="1"/>
  <c r="R30" i="5" s="1" a="1"/>
  <c r="R30" i="5" s="1"/>
  <c r="F29" i="5" a="1"/>
  <c r="F29" i="5" s="1"/>
  <c r="K29" i="5" a="1"/>
  <c r="K29" i="5" s="1"/>
  <c r="N29" i="5" s="1" a="1"/>
  <c r="N29" i="5" s="1"/>
  <c r="M29" i="5" a="1"/>
  <c r="M29" i="5" s="1"/>
  <c r="L29" i="5" a="1"/>
  <c r="L29" i="5" s="1"/>
  <c r="O29" i="5" s="1" a="1"/>
  <c r="O29" i="5" s="1"/>
  <c r="G15" i="5" a="1"/>
  <c r="G15" i="5" s="1"/>
  <c r="K15" i="5" a="1"/>
  <c r="K15" i="5" s="1"/>
  <c r="L15" i="5" a="1"/>
  <c r="L15" i="5" s="1"/>
  <c r="O15" i="5" s="1" a="1"/>
  <c r="O15" i="5" s="1"/>
  <c r="H11" i="5" a="1"/>
  <c r="H11" i="5" s="1"/>
  <c r="E8" i="5" a="1"/>
  <c r="E8" i="5" s="1"/>
  <c r="E3" i="5" a="1"/>
  <c r="E3" i="5" s="1"/>
  <c r="G8" i="5" a="1"/>
  <c r="G8" i="5" s="1"/>
  <c r="H8" i="5" a="1"/>
  <c r="H8" i="5" s="1"/>
  <c r="H29" i="5" a="1"/>
  <c r="H29" i="5" s="1"/>
  <c r="H3" i="5" a="1"/>
  <c r="H3" i="5" s="1"/>
  <c r="E25" i="5" a="1"/>
  <c r="E25" i="5" s="1"/>
  <c r="H9" i="5" a="1"/>
  <c r="H9" i="5" s="1"/>
  <c r="E29" i="5" a="1"/>
  <c r="E29" i="5" s="1"/>
  <c r="I15" i="5" a="1"/>
  <c r="I15" i="5" s="1"/>
  <c r="E11" i="5" a="1"/>
  <c r="E11" i="5" s="1"/>
  <c r="D9" i="5" a="1"/>
  <c r="D9" i="5" s="1"/>
  <c r="F30" i="5" a="1"/>
  <c r="F30" i="5" s="1"/>
  <c r="G20" i="5" a="1"/>
  <c r="G20" i="5" s="1"/>
  <c r="E30" i="5" a="1"/>
  <c r="E30" i="5" s="1"/>
  <c r="G30" i="5" a="1"/>
  <c r="G30" i="5" s="1"/>
  <c r="H5" i="5" a="1"/>
  <c r="H5" i="5" s="1"/>
  <c r="I3" i="5" a="1"/>
  <c r="I3" i="5" s="1"/>
  <c r="E26" i="5" a="1"/>
  <c r="E26" i="5" s="1"/>
  <c r="F17" i="5" a="1"/>
  <c r="F17" i="5" s="1"/>
  <c r="G11" i="5" a="1"/>
  <c r="G11" i="5" s="1"/>
  <c r="H13" i="5" a="1"/>
  <c r="H13" i="5" s="1"/>
  <c r="J13" i="5" s="1"/>
  <c r="H17" i="5" a="1"/>
  <c r="H17" i="5" s="1"/>
  <c r="E31" i="5" a="1"/>
  <c r="E31" i="5" s="1"/>
  <c r="D31" i="5" a="1"/>
  <c r="D31" i="5" s="1"/>
  <c r="R31" i="5" s="1" a="1"/>
  <c r="R31" i="5" s="1"/>
  <c r="F31" i="5" a="1"/>
  <c r="F31" i="5" s="1"/>
  <c r="F14" i="5" a="1"/>
  <c r="F14" i="5" s="1"/>
  <c r="D20" i="5" a="1"/>
  <c r="D20" i="5" s="1"/>
  <c r="D14" i="5" a="1"/>
  <c r="D14" i="5" s="1"/>
  <c r="Q14" i="5" s="1" a="1"/>
  <c r="Q14" i="5" s="1"/>
  <c r="G31" i="5" a="1"/>
  <c r="G31" i="5" s="1"/>
  <c r="F16" i="5" a="1"/>
  <c r="F16" i="5" s="1"/>
  <c r="E24" i="5" a="1"/>
  <c r="E24" i="5" s="1"/>
  <c r="F20" i="5" a="1"/>
  <c r="F20" i="5" s="1"/>
  <c r="E16" i="5" a="1"/>
  <c r="E16" i="5" s="1"/>
  <c r="E9" i="5" a="1"/>
  <c r="E9" i="5" s="1"/>
  <c r="I19" i="5" a="1"/>
  <c r="I19" i="5" s="1"/>
  <c r="H20" i="5" a="1"/>
  <c r="H20" i="5" s="1"/>
  <c r="F4" i="5" a="1"/>
  <c r="F4" i="5" s="1"/>
  <c r="D21" i="5" a="1"/>
  <c r="D21" i="5" s="1"/>
  <c r="Q21" i="5" s="1" a="1"/>
  <c r="Q21" i="5" s="1"/>
  <c r="I21" i="5" a="1"/>
  <c r="I21" i="5" s="1"/>
  <c r="G21" i="5" a="1"/>
  <c r="G21" i="5" s="1"/>
  <c r="H10" i="5" a="1"/>
  <c r="H10" i="5" s="1"/>
  <c r="F21" i="5" a="1"/>
  <c r="F21" i="5" s="1"/>
  <c r="E19" i="5" a="1"/>
  <c r="E19" i="5" s="1"/>
  <c r="G9" i="5" a="1"/>
  <c r="G9" i="5" s="1"/>
  <c r="G2" i="5" a="1"/>
  <c r="G2" i="5" s="1"/>
  <c r="H18" i="5" a="1"/>
  <c r="H18" i="5" s="1"/>
  <c r="H21" i="5" a="1"/>
  <c r="H21" i="5" s="1"/>
  <c r="D29" i="5" a="1"/>
  <c r="D29" i="5" s="1"/>
  <c r="R29" i="5" s="1" a="1"/>
  <c r="R29" i="5" s="1"/>
  <c r="D24" i="5" a="1"/>
  <c r="D24" i="5" s="1"/>
  <c r="F23" i="5" a="1"/>
  <c r="F23" i="5" s="1"/>
  <c r="F24" i="5" a="1"/>
  <c r="F24" i="5" s="1"/>
  <c r="I24" i="5" a="1"/>
  <c r="I24" i="5" s="1"/>
  <c r="H16" i="5" a="1"/>
  <c r="H16" i="5" s="1"/>
  <c r="E18" i="5" a="1"/>
  <c r="E18" i="5" s="1"/>
  <c r="G5" i="5" a="1"/>
  <c r="G5" i="5" s="1"/>
  <c r="G23" i="5" a="1"/>
  <c r="G23" i="5" s="1"/>
  <c r="H7" i="5" a="1"/>
  <c r="H7" i="5" s="1"/>
  <c r="G19" i="5" a="1"/>
  <c r="G19" i="5" s="1"/>
  <c r="E22" i="5" a="1"/>
  <c r="E22" i="5" s="1"/>
  <c r="E10" i="5" a="1"/>
  <c r="E10" i="5" s="1"/>
  <c r="I2" i="5" a="1"/>
  <c r="I2" i="5" s="1"/>
  <c r="I29" i="5" a="1"/>
  <c r="I29" i="5" s="1"/>
  <c r="D2" i="5" a="1"/>
  <c r="D2" i="5" s="1"/>
  <c r="F8" i="5" a="1"/>
  <c r="F8" i="5" s="1"/>
  <c r="G22" i="5" a="1"/>
  <c r="G22" i="5" s="1"/>
  <c r="D17" i="5" a="1"/>
  <c r="D17" i="5" s="1"/>
  <c r="G4" i="5" a="1"/>
  <c r="G4" i="5" s="1"/>
  <c r="I22" i="5" a="1"/>
  <c r="I22" i="5" s="1"/>
  <c r="E5" i="5" a="1"/>
  <c r="E5" i="5" s="1"/>
  <c r="E17" i="5" a="1"/>
  <c r="E17" i="5" s="1"/>
  <c r="D12" i="5" a="1"/>
  <c r="D12" i="5" s="1"/>
  <c r="F19" i="5" a="1"/>
  <c r="F19" i="5" s="1"/>
  <c r="H14" i="5" a="1"/>
  <c r="H14" i="5" s="1"/>
  <c r="H22" i="5" a="1"/>
  <c r="H22" i="5" s="1"/>
  <c r="G7" i="5" a="1"/>
  <c r="G7" i="5" s="1"/>
  <c r="F2" i="5" a="1"/>
  <c r="F2" i="5" s="1"/>
  <c r="F12" i="5" a="1"/>
  <c r="F12" i="5" s="1"/>
  <c r="I23" i="5" a="1"/>
  <c r="I23" i="5" s="1"/>
  <c r="D10" i="5" a="1"/>
  <c r="D10" i="5" s="1"/>
  <c r="F5" i="5" a="1"/>
  <c r="F5" i="5" s="1"/>
  <c r="D18" i="5" a="1"/>
  <c r="D18" i="5" s="1"/>
  <c r="H23" i="5" a="1"/>
  <c r="H23" i="5" s="1"/>
  <c r="I10" i="5" a="1"/>
  <c r="I10" i="5" s="1"/>
  <c r="G14" i="5" a="1"/>
  <c r="G14" i="5" s="1"/>
  <c r="G29" i="5" a="1"/>
  <c r="G29" i="5" s="1"/>
  <c r="F10" i="5" a="1"/>
  <c r="F10" i="5" s="1"/>
  <c r="H4" i="5" a="1"/>
  <c r="H4" i="5" s="1"/>
  <c r="E7" i="5" a="1"/>
  <c r="E7" i="5" s="1"/>
  <c r="I14" i="5" a="1"/>
  <c r="I14" i="5" s="1"/>
  <c r="G18" i="5" a="1"/>
  <c r="G18" i="5" s="1"/>
  <c r="I5" i="5" a="1"/>
  <c r="I5" i="5" s="1"/>
  <c r="F7" i="5" a="1"/>
  <c r="F7" i="5" s="1"/>
  <c r="D15" i="5" a="1"/>
  <c r="D15" i="5" s="1"/>
  <c r="E2" i="5" a="1"/>
  <c r="E2" i="5" s="1"/>
  <c r="I7" i="5" a="1"/>
  <c r="I7" i="5" s="1"/>
  <c r="I17" i="5" a="1"/>
  <c r="I17" i="5" s="1"/>
  <c r="F22" i="5" a="1"/>
  <c r="F22" i="5" s="1"/>
  <c r="H2" i="5" a="1"/>
  <c r="H2" i="5" s="1"/>
  <c r="D23" i="5" a="1"/>
  <c r="D23" i="5" s="1"/>
  <c r="E20" i="5" a="1"/>
  <c r="E20" i="5" s="1"/>
  <c r="I18" i="5" a="1"/>
  <c r="I18" i="5" s="1"/>
  <c r="D5" i="5" a="1"/>
  <c r="D5" i="5" s="1"/>
  <c r="Q5" i="5" s="1" a="1"/>
  <c r="Q5" i="5" s="1"/>
  <c r="D8" i="5" a="1"/>
  <c r="D8" i="5" s="1"/>
  <c r="E23" i="5" a="1"/>
  <c r="E23" i="5" s="1"/>
  <c r="H24" i="5" a="1"/>
  <c r="H24" i="5" s="1"/>
  <c r="G10" i="5" a="1"/>
  <c r="G10" i="5" s="1"/>
  <c r="I4" i="5" a="1"/>
  <c r="I4" i="5" s="1"/>
  <c r="D4" i="5" a="1"/>
  <c r="D4" i="5" s="1"/>
  <c r="D16" i="5" a="1"/>
  <c r="D16" i="5" s="1"/>
  <c r="D7" i="5" a="1"/>
  <c r="D7" i="5" s="1"/>
  <c r="I16" i="5" a="1"/>
  <c r="I16" i="5" s="1"/>
  <c r="E4" i="5" a="1"/>
  <c r="E4" i="5" s="1"/>
  <c r="G5" i="6" l="1" a="1"/>
  <c r="G5" i="6" s="1"/>
  <c r="F6" i="6" a="1"/>
  <c r="F6" i="6" s="1"/>
  <c r="E6" i="6" a="1"/>
  <c r="E6" i="6" s="1"/>
  <c r="D8" i="11"/>
  <c r="D14" i="11"/>
  <c r="G6" i="6" a="1"/>
  <c r="G6" i="6" s="1"/>
  <c r="F7" i="6" a="1"/>
  <c r="F7" i="6" s="1"/>
  <c r="I5" i="6" a="1"/>
  <c r="I5" i="6" s="1"/>
  <c r="E5" i="6" a="1"/>
  <c r="E5" i="6" s="1"/>
  <c r="H6" i="6" a="1"/>
  <c r="H6" i="6" s="1"/>
  <c r="J6" i="6" s="1"/>
  <c r="G7" i="6" a="1"/>
  <c r="G7" i="6" s="1"/>
  <c r="E3" i="6" a="1"/>
  <c r="E3" i="6" s="1"/>
  <c r="I3" i="6" a="1"/>
  <c r="I3" i="6" s="1"/>
  <c r="J3" i="6" s="1"/>
  <c r="F3" i="6" a="1"/>
  <c r="F3" i="6" s="1"/>
  <c r="D3" i="6" a="1"/>
  <c r="D3" i="6" s="1"/>
  <c r="G3" i="6" a="1"/>
  <c r="G3" i="6" s="1"/>
  <c r="D13" i="11"/>
  <c r="D7" i="11"/>
  <c r="I7" i="6" a="1"/>
  <c r="I7" i="6" s="1"/>
  <c r="J7" i="6" s="1"/>
  <c r="D7" i="6" a="1"/>
  <c r="D7" i="6" s="1"/>
  <c r="D6" i="6" a="1"/>
  <c r="D6" i="6" s="1"/>
  <c r="D5" i="6" a="1"/>
  <c r="D5" i="6" s="1"/>
  <c r="P22" i="5" a="1"/>
  <c r="P22" i="5" s="1"/>
  <c r="H27" i="5" a="1"/>
  <c r="H27" i="5" s="1"/>
  <c r="L27" i="5" a="1"/>
  <c r="L27" i="5" s="1"/>
  <c r="O27" i="5" s="1" a="1"/>
  <c r="O27" i="5" s="1"/>
  <c r="I4" i="6" a="1"/>
  <c r="I4" i="6" s="1"/>
  <c r="J4" i="6" s="1"/>
  <c r="E4" i="6" a="1"/>
  <c r="E4" i="6" s="1"/>
  <c r="G4" i="6" a="1"/>
  <c r="G4" i="6" s="1"/>
  <c r="H5" i="6" a="1"/>
  <c r="H5" i="6" s="1"/>
  <c r="J9" i="7"/>
  <c r="N22" i="5" a="1"/>
  <c r="N22" i="5" s="1"/>
  <c r="K9" i="5" a="1"/>
  <c r="K9" i="5" s="1"/>
  <c r="N9" i="5" s="1" a="1"/>
  <c r="N9" i="5" s="1"/>
  <c r="E27" i="5" a="1"/>
  <c r="E27" i="5" s="1"/>
  <c r="I27" i="5" a="1"/>
  <c r="I27" i="5" s="1"/>
  <c r="M11" i="5" a="1"/>
  <c r="M11" i="5" s="1"/>
  <c r="P11" i="5" s="1" a="1"/>
  <c r="P11" i="5" s="1"/>
  <c r="K10" i="2"/>
  <c r="K26" i="2"/>
  <c r="N28" i="5" a="1"/>
  <c r="N28" i="5" s="1"/>
  <c r="J8" i="7"/>
  <c r="N25" i="5" a="1"/>
  <c r="N25" i="5" s="1"/>
  <c r="K13" i="2"/>
  <c r="H15" i="5" a="1"/>
  <c r="H15" i="5" s="1"/>
  <c r="J15" i="5" s="1"/>
  <c r="M15" i="5" a="1"/>
  <c r="M15" i="5" s="1"/>
  <c r="K2" i="2"/>
  <c r="P25" i="5" a="1"/>
  <c r="P25" i="5" s="1"/>
  <c r="D27" i="5" a="1"/>
  <c r="D27" i="5" s="1"/>
  <c r="R27" i="5" s="1" a="1"/>
  <c r="R27" i="5" s="1"/>
  <c r="J29" i="5"/>
  <c r="J17" i="5"/>
  <c r="K6" i="2"/>
  <c r="K17" i="2"/>
  <c r="J5" i="5"/>
  <c r="J7" i="7"/>
  <c r="K19" i="2"/>
  <c r="K27" i="2"/>
  <c r="J3" i="7"/>
  <c r="J5" i="7"/>
  <c r="K11" i="2"/>
  <c r="J10" i="7"/>
  <c r="N6" i="5" a="1"/>
  <c r="N6" i="5" s="1"/>
  <c r="Q8" i="5" a="1"/>
  <c r="Q8" i="5" s="1"/>
  <c r="R8" i="5" a="1"/>
  <c r="R8" i="5" s="1"/>
  <c r="Q25" i="5" a="1"/>
  <c r="Q25" i="5" s="1"/>
  <c r="R25" i="5" a="1"/>
  <c r="R25" i="5" s="1"/>
  <c r="Q13" i="5" a="1"/>
  <c r="Q13" i="5" s="1"/>
  <c r="R13" i="5" a="1"/>
  <c r="R13" i="5" s="1"/>
  <c r="N19" i="5" a="1"/>
  <c r="N19" i="5" s="1"/>
  <c r="P31" i="5" a="1"/>
  <c r="P31" i="5" s="1"/>
  <c r="P23" i="5" a="1"/>
  <c r="P23" i="5" s="1"/>
  <c r="Q12" i="5" a="1"/>
  <c r="Q12" i="5" s="1"/>
  <c r="R12" i="5" a="1"/>
  <c r="R12" i="5" s="1"/>
  <c r="N15" i="5" a="1"/>
  <c r="N15" i="5" s="1"/>
  <c r="P3" i="5" a="1"/>
  <c r="P3" i="5" s="1"/>
  <c r="N5" i="5" a="1"/>
  <c r="N5" i="5" s="1"/>
  <c r="Q20" i="5" a="1"/>
  <c r="Q20" i="5" s="1"/>
  <c r="R20" i="5" a="1"/>
  <c r="R20" i="5" s="1"/>
  <c r="P15" i="5" a="1"/>
  <c r="P15" i="5" s="1"/>
  <c r="N3" i="5" a="1"/>
  <c r="N3" i="5" s="1"/>
  <c r="N18" i="5" a="1"/>
  <c r="N18" i="5" s="1"/>
  <c r="P19" i="5" a="1"/>
  <c r="P19" i="5" s="1"/>
  <c r="N21" i="5" a="1"/>
  <c r="N21" i="5" s="1"/>
  <c r="Q23" i="5" a="1"/>
  <c r="Q23" i="5" s="1"/>
  <c r="R23" i="5" a="1"/>
  <c r="R23" i="5" s="1"/>
  <c r="Q9" i="5" a="1"/>
  <c r="Q9" i="5" s="1"/>
  <c r="R9" i="5" a="1"/>
  <c r="R9" i="5" s="1"/>
  <c r="R3" i="5" a="1"/>
  <c r="R3" i="5" s="1"/>
  <c r="Q3" i="5" a="1"/>
  <c r="Q3" i="5" s="1"/>
  <c r="P30" i="5" a="1"/>
  <c r="P30" i="5" s="1"/>
  <c r="P29" i="5" a="1"/>
  <c r="P29" i="5" s="1"/>
  <c r="N10" i="5" a="1"/>
  <c r="N10" i="5" s="1"/>
  <c r="P13" i="5" a="1"/>
  <c r="P13" i="5" s="1"/>
  <c r="P10" i="5" a="1"/>
  <c r="P10" i="5" s="1"/>
  <c r="Q18" i="5" a="1"/>
  <c r="Q18" i="5" s="1"/>
  <c r="R18" i="5" a="1"/>
  <c r="R18" i="5" s="1"/>
  <c r="N20" i="5" a="1"/>
  <c r="N20" i="5" s="1"/>
  <c r="R17" i="5" a="1"/>
  <c r="R17" i="5" s="1"/>
  <c r="Q17" i="5" a="1"/>
  <c r="Q17" i="5" s="1"/>
  <c r="R22" i="5" a="1"/>
  <c r="R22" i="5" s="1"/>
  <c r="Q22" i="5" a="1"/>
  <c r="Q22" i="5" s="1"/>
  <c r="R7" i="5" a="1"/>
  <c r="R7" i="5" s="1"/>
  <c r="Q7" i="5" a="1"/>
  <c r="Q7" i="5" s="1"/>
  <c r="Q16" i="5" a="1"/>
  <c r="Q16" i="5" s="1"/>
  <c r="R16" i="5" a="1"/>
  <c r="R16" i="5" s="1"/>
  <c r="Q10" i="5" a="1"/>
  <c r="Q10" i="5" s="1"/>
  <c r="R10" i="5" a="1"/>
  <c r="R10" i="5" s="1"/>
  <c r="R2" i="5" a="1"/>
  <c r="R2" i="5" s="1"/>
  <c r="Q2" i="5" a="1"/>
  <c r="Q2" i="5" s="1"/>
  <c r="Q19" i="5" a="1"/>
  <c r="Q19" i="5" s="1"/>
  <c r="R19" i="5" a="1"/>
  <c r="R19" i="5" s="1"/>
  <c r="P16" i="5" a="1"/>
  <c r="P16" i="5" s="1"/>
  <c r="N12" i="5" a="1"/>
  <c r="N12" i="5" s="1"/>
  <c r="P2" i="5" a="1"/>
  <c r="P2" i="5" s="1"/>
  <c r="N7" i="5" a="1"/>
  <c r="N7" i="5" s="1"/>
  <c r="P20" i="5" a="1"/>
  <c r="P20" i="5" s="1"/>
  <c r="Q4" i="5" a="1"/>
  <c r="Q4" i="5" s="1"/>
  <c r="R4" i="5" a="1"/>
  <c r="R4" i="5" s="1"/>
  <c r="Q15" i="5" a="1"/>
  <c r="Q15" i="5" s="1"/>
  <c r="R15" i="5" a="1"/>
  <c r="R15" i="5" s="1"/>
  <c r="Q24" i="5" a="1"/>
  <c r="Q24" i="5" s="1"/>
  <c r="R24" i="5" a="1"/>
  <c r="R24" i="5" s="1"/>
  <c r="N16" i="5" a="1"/>
  <c r="N16" i="5" s="1"/>
  <c r="P7" i="5" a="1"/>
  <c r="P7" i="5" s="1"/>
  <c r="P8" i="5" a="1"/>
  <c r="P8" i="5" s="1"/>
  <c r="N8" i="5" a="1"/>
  <c r="N8" i="5" s="1"/>
  <c r="N17" i="5" a="1"/>
  <c r="N17" i="5" s="1"/>
  <c r="N14" i="5" a="1"/>
  <c r="N14" i="5" s="1"/>
  <c r="P17" i="5" a="1"/>
  <c r="P17" i="5" s="1"/>
  <c r="J31" i="5"/>
  <c r="J28" i="5"/>
  <c r="J14" i="5"/>
  <c r="J26" i="5"/>
  <c r="J10" i="5"/>
  <c r="J19" i="5"/>
  <c r="J27" i="5"/>
  <c r="J7" i="5"/>
  <c r="J23" i="5"/>
  <c r="J18" i="5"/>
  <c r="J3" i="5"/>
  <c r="J30" i="5"/>
  <c r="J21" i="5"/>
  <c r="J16" i="5"/>
  <c r="J24" i="5"/>
  <c r="J20" i="5"/>
  <c r="J4" i="5"/>
  <c r="J2" i="5"/>
  <c r="J9" i="5"/>
  <c r="J8" i="5"/>
  <c r="J11" i="5"/>
  <c r="J22" i="5"/>
  <c r="J5" i="6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<sst xmlns="http://schemas.openxmlformats.org/spreadsheetml/2006/main" count="1216" uniqueCount="268">
  <si>
    <t>round</t>
  </si>
  <si>
    <t>turns_played</t>
  </si>
  <si>
    <t>mission</t>
  </si>
  <si>
    <t>first_turn</t>
  </si>
  <si>
    <t>outcome</t>
  </si>
  <si>
    <t>winner</t>
  </si>
  <si>
    <t>player_a_team</t>
  </si>
  <si>
    <t>player_a_user_id</t>
  </si>
  <si>
    <t>player_a_name</t>
  </si>
  <si>
    <t>player_a_battle_plan</t>
  </si>
  <si>
    <t>player_a_units_lost</t>
  </si>
  <si>
    <t>player_a_score</t>
  </si>
  <si>
    <t>player_a_role</t>
  </si>
  <si>
    <t>player_b_team</t>
  </si>
  <si>
    <t>player_b_user_id</t>
  </si>
  <si>
    <t>player_b_name</t>
  </si>
  <si>
    <t>player_b_battle_plan</t>
  </si>
  <si>
    <t>player_b_units_lost</t>
  </si>
  <si>
    <t>player_b_score</t>
  </si>
  <si>
    <t>player_b_role</t>
  </si>
  <si>
    <t>escape</t>
  </si>
  <si>
    <t>b</t>
  </si>
  <si>
    <t>attack_repelled</t>
  </si>
  <si>
    <t>m178pgzek563414k5ppqxnqfph85kmqk</t>
  </si>
  <si>
    <t>Chris Stone</t>
  </si>
  <si>
    <t>attack</t>
  </si>
  <si>
    <t>attacker</t>
  </si>
  <si>
    <t>m1741jc3ysnb87stgxxpfx159s7qjzs9</t>
  </si>
  <si>
    <t>Gareth Lewis</t>
  </si>
  <si>
    <t>maneuver</t>
  </si>
  <si>
    <t>defender</t>
  </si>
  <si>
    <t>encounter</t>
  </si>
  <si>
    <t>a</t>
  </si>
  <si>
    <t>time_out</t>
  </si>
  <si>
    <t>none</t>
  </si>
  <si>
    <t>m17d9e98h7dzkz9ks8e8tn0jmh7ncmkw</t>
  </si>
  <si>
    <t>Alex Armitage</t>
  </si>
  <si>
    <t>defend</t>
  </si>
  <si>
    <t>m17dvz8k468ssw64qe57e65y9186rwt8</t>
  </si>
  <si>
    <t>Keith Martin-Smith</t>
  </si>
  <si>
    <t>no_retreat</t>
  </si>
  <si>
    <t>m17313rf66ezwenk8k3rjjzkgs86n1ws</t>
  </si>
  <si>
    <t>Mark Taylor</t>
  </si>
  <si>
    <t>m176rx4162gqb0r56mkm423ckh7mms1f</t>
  </si>
  <si>
    <t>Andy Somerville</t>
  </si>
  <si>
    <t>objective_taken</t>
  </si>
  <si>
    <t>m170dsrb9rxwb0p5r0shy7mdyd81v652</t>
  </si>
  <si>
    <t>Peter McCarroll</t>
  </si>
  <si>
    <t>m174j7e9f6tmr5tvp1018ymte1864gw1</t>
  </si>
  <si>
    <t>Frank Keast</t>
  </si>
  <si>
    <t>force_broken</t>
  </si>
  <si>
    <t>m17c62q7r7gvzy8sta4yvpsy7n7nrqpc</t>
  </si>
  <si>
    <t>Simon Peyton</t>
  </si>
  <si>
    <t>m17dd8ekynshgzsaqzrqa04dh585wjhe</t>
  </si>
  <si>
    <t xml:space="preserve">Jakub WÅ‚osowicz </t>
  </si>
  <si>
    <t>probe</t>
  </si>
  <si>
    <t>m173e4ca5ymc0zvp6nnnfz8kqh85hdrg</t>
  </si>
  <si>
    <t>Raymond Young</t>
  </si>
  <si>
    <t>m171gyqpf7xdaf4m1nj9cyhbsn86sgt1</t>
  </si>
  <si>
    <t>dab</t>
  </si>
  <si>
    <t>m1727vbteqpkwbc781rz8rw0397kqy2a</t>
  </si>
  <si>
    <t>Jacopo Sem</t>
  </si>
  <si>
    <t>m174njm2q4jceqsc68swfjfyq57nw34f</t>
  </si>
  <si>
    <t>Anthony Himycz</t>
  </si>
  <si>
    <t>hold_the_pocket</t>
  </si>
  <si>
    <t>m170ydpp6ytmfbyvamt2pdxme181gf8t</t>
  </si>
  <si>
    <t>Tom Dudley</t>
  </si>
  <si>
    <t>m17d2hv9vk3g5e8etkqkbqbcmn85pv05</t>
  </si>
  <si>
    <t>Alasdair Galloway</t>
  </si>
  <si>
    <t>m17e6mz911704amf7nvgscbtw97nd43j</t>
  </si>
  <si>
    <t>Krzysztof Kuczerawy</t>
  </si>
  <si>
    <t>m1763d5xv5w06g0p77d794fths7k938v</t>
  </si>
  <si>
    <t>Åukasz Kur</t>
  </si>
  <si>
    <t>encirclement</t>
  </si>
  <si>
    <t>m175sbdxx1r2zq5jn6mdscsexx86gzn2</t>
  </si>
  <si>
    <t>Laurence Kettle</t>
  </si>
  <si>
    <t>m172prnn7ee4eavt3sasg4xf397nazj5</t>
  </si>
  <si>
    <t>Rex King</t>
  </si>
  <si>
    <t>m17avsxcwawj8dkhmc16pz013986hwv4</t>
  </si>
  <si>
    <t>Brian Wilson</t>
  </si>
  <si>
    <t>m176kt9se0tm1y2dxtkqkthwxd86tzsv</t>
  </si>
  <si>
    <t>Leo Humphreys</t>
  </si>
  <si>
    <t>m176m7qa02ds8hsgzgbm4e4ssn7rhm68</t>
  </si>
  <si>
    <t>Kenneth Alexander</t>
  </si>
  <si>
    <t>m176j9ge6ss0s6pqjxrr1cpnjh86c2c8</t>
  </si>
  <si>
    <t>Jordan Williamson</t>
  </si>
  <si>
    <t>m17abhk4dqzbh2gjfcxwx3bars84jngw</t>
  </si>
  <si>
    <t>Lucas Helaine-Watson</t>
  </si>
  <si>
    <t>m17cms3zc3pkg59r1jj41s7txn7nbk3w</t>
  </si>
  <si>
    <t>Szymon Granat</t>
  </si>
  <si>
    <t>bypass</t>
  </si>
  <si>
    <t>its_a_trap</t>
  </si>
  <si>
    <t>free_for_all</t>
  </si>
  <si>
    <t>valley_of_death</t>
  </si>
  <si>
    <t>scouts_out</t>
  </si>
  <si>
    <t>cornered</t>
  </si>
  <si>
    <t>counterstrike</t>
  </si>
  <si>
    <t>dust_up</t>
  </si>
  <si>
    <t>dogfight</t>
  </si>
  <si>
    <t>counterattack</t>
  </si>
  <si>
    <t>outmaneuvered</t>
  </si>
  <si>
    <t>covering_force</t>
  </si>
  <si>
    <t>Total score</t>
  </si>
  <si>
    <t>Wins</t>
  </si>
  <si>
    <t>Loses</t>
  </si>
  <si>
    <t>Draws</t>
  </si>
  <si>
    <t>Units lost</t>
  </si>
  <si>
    <t>Units killed</t>
  </si>
  <si>
    <t>Faction</t>
  </si>
  <si>
    <t>German: Waffen-SS</t>
  </si>
  <si>
    <t>Combined Tank/Mechanised Infantry</t>
  </si>
  <si>
    <t>German: Fortress Europe</t>
  </si>
  <si>
    <t>Infantry</t>
  </si>
  <si>
    <t>Soviet: Bagration</t>
  </si>
  <si>
    <t>Combined Tank/Infantry</t>
  </si>
  <si>
    <t>British: Bulge</t>
  </si>
  <si>
    <t>Tank</t>
  </si>
  <si>
    <t>German: Bulge</t>
  </si>
  <si>
    <t>German: Berlin</t>
  </si>
  <si>
    <t>Romanian: Bagration (Allies)</t>
  </si>
  <si>
    <t>German: D-Day</t>
  </si>
  <si>
    <t>Soviet: Berlin</t>
  </si>
  <si>
    <t>German: Bagration</t>
  </si>
  <si>
    <t>Mechanised Infantry</t>
  </si>
  <si>
    <t>British: D-Day</t>
  </si>
  <si>
    <t>American: Bulge</t>
  </si>
  <si>
    <t>American: D-Day</t>
  </si>
  <si>
    <t>Formation 1</t>
  </si>
  <si>
    <t>Formation 2</t>
  </si>
  <si>
    <t xml:space="preserve">Panzer IV SS Tank Company </t>
  </si>
  <si>
    <t>Armoured SS Panzergrenadier Company</t>
  </si>
  <si>
    <t>Primary</t>
  </si>
  <si>
    <t>Secondary</t>
  </si>
  <si>
    <t>Parachute Rifle Company</t>
  </si>
  <si>
    <t>Berlin Battle Group</t>
  </si>
  <si>
    <t>IS-85 Guards Heavy Tank Regiment</t>
  </si>
  <si>
    <t>Hero Motor Rifle Battalion</t>
  </si>
  <si>
    <t>Ram Armoured Squadron</t>
  </si>
  <si>
    <t>StuG SS Tank Company</t>
  </si>
  <si>
    <t>Volksgrenadier Company</t>
  </si>
  <si>
    <t>Heavy Tank Training Company</t>
  </si>
  <si>
    <t>Motorised Rifle Company</t>
  </si>
  <si>
    <t>Hero T-34 (85mm) Tank Battalion (Allied Formation)</t>
  </si>
  <si>
    <t>Tank Training Company</t>
  </si>
  <si>
    <t>Beach Defence Grenadier Company</t>
  </si>
  <si>
    <t>Hero IS-2 (Late) Guards Heavy Tank Regiment</t>
  </si>
  <si>
    <t>Medium SP Artillery Regiment</t>
  </si>
  <si>
    <t>Panther Tank Company</t>
  </si>
  <si>
    <t>Kangaroo Rifle Company</t>
  </si>
  <si>
    <t>T-34 Tank Battalion</t>
  </si>
  <si>
    <t>Desert Rats Cromwell Armoured Squadron</t>
  </si>
  <si>
    <t>Red Banner Rifle Regiment</t>
  </si>
  <si>
    <t>Brigade Armoured Assault Company</t>
  </si>
  <si>
    <t>Panzer Battle Group</t>
  </si>
  <si>
    <t>Veteran M4 Sherman (Late) Tank Company</t>
  </si>
  <si>
    <t>Rifle Company</t>
  </si>
  <si>
    <t>Turán Tank Company</t>
  </si>
  <si>
    <t>Guards Sherman Armoured Squadron</t>
  </si>
  <si>
    <t>Frost's Parachute Company</t>
  </si>
  <si>
    <t>Battle Weary Rifle Company</t>
  </si>
  <si>
    <t>Overall</t>
  </si>
  <si>
    <t>Hungarian: Bagration (Axis)</t>
  </si>
  <si>
    <t>player_a_faction</t>
  </si>
  <si>
    <t>player_b_faction</t>
  </si>
  <si>
    <t>player_a_force</t>
  </si>
  <si>
    <t>player_b_force</t>
  </si>
  <si>
    <t>Formation</t>
  </si>
  <si>
    <t>player_a_formation_1</t>
  </si>
  <si>
    <t>player_a_formation_2</t>
  </si>
  <si>
    <t>player_b_formation_1</t>
  </si>
  <si>
    <t>player_b_formation_2</t>
  </si>
  <si>
    <t>Armoured Panzergrenadier Company</t>
  </si>
  <si>
    <t>Attack pick rate</t>
  </si>
  <si>
    <t>Defend pick rate</t>
  </si>
  <si>
    <t>player_a_force_override</t>
  </si>
  <si>
    <t>player_b_force_override</t>
  </si>
  <si>
    <t>Unit kill/loss ratio</t>
  </si>
  <si>
    <t>Draw %</t>
  </si>
  <si>
    <t>Loss %</t>
  </si>
  <si>
    <t>Win %</t>
  </si>
  <si>
    <t>No. games</t>
  </si>
  <si>
    <t>Form. Freq.</t>
  </si>
  <si>
    <t>Avg. Units lost</t>
  </si>
  <si>
    <t>Avg. Units killed</t>
  </si>
  <si>
    <t>Avg. score/match</t>
  </si>
  <si>
    <t>Lukasz Kur</t>
  </si>
  <si>
    <t xml:space="preserve">Jakub Wlosowicz </t>
  </si>
  <si>
    <t>David Burns</t>
  </si>
  <si>
    <t>Player (CC)</t>
  </si>
  <si>
    <t>Player Name</t>
  </si>
  <si>
    <t>Force Type</t>
  </si>
  <si>
    <t>Type Freq.</t>
  </si>
  <si>
    <t>Faction Freq.</t>
  </si>
  <si>
    <t>Manoeuver pick rate</t>
  </si>
  <si>
    <t>Defender win rate</t>
  </si>
  <si>
    <t>Attacker win rate</t>
  </si>
  <si>
    <t>Attack stance win rate</t>
  </si>
  <si>
    <t>Manoeuver stance win rate</t>
  </si>
  <si>
    <t>Defend stance win rate</t>
  </si>
  <si>
    <t>Stance</t>
  </si>
  <si>
    <t>Attack</t>
  </si>
  <si>
    <t>Maneuver</t>
  </si>
  <si>
    <t>Defend</t>
  </si>
  <si>
    <t>Mission (CC)</t>
  </si>
  <si>
    <t>Mission name</t>
  </si>
  <si>
    <t>Escape</t>
  </si>
  <si>
    <t>Encounter</t>
  </si>
  <si>
    <t>Probe</t>
  </si>
  <si>
    <t>Encirclement</t>
  </si>
  <si>
    <t>Bypass</t>
  </si>
  <si>
    <t>Cornered</t>
  </si>
  <si>
    <t>Dogfight</t>
  </si>
  <si>
    <t>Counterattack</t>
  </si>
  <si>
    <t>Outmaneuvered</t>
  </si>
  <si>
    <t>No Retreat</t>
  </si>
  <si>
    <t>Hold the Pocket</t>
  </si>
  <si>
    <t>It's a Trap</t>
  </si>
  <si>
    <t>Free for All</t>
  </si>
  <si>
    <t>Valley of Death</t>
  </si>
  <si>
    <t>Scouts Out</t>
  </si>
  <si>
    <t>Countstrike</t>
  </si>
  <si>
    <t>Dust Up</t>
  </si>
  <si>
    <t>Covering Force</t>
  </si>
  <si>
    <t>No. picks</t>
  </si>
  <si>
    <t>player_a_type</t>
  </si>
  <si>
    <t>player_b_type</t>
  </si>
  <si>
    <t>Attacker</t>
  </si>
  <si>
    <t>Win rate</t>
  </si>
  <si>
    <t>Defender</t>
  </si>
  <si>
    <t>Avg. turn game</t>
  </si>
  <si>
    <t>Draw rate</t>
  </si>
  <si>
    <t>Infantry force win rate</t>
  </si>
  <si>
    <t>Tank force win rate</t>
  </si>
  <si>
    <t>Combined force win rate</t>
  </si>
  <si>
    <t>Mechanised force win rate</t>
  </si>
  <si>
    <t>Notes</t>
  </si>
  <si>
    <t>No. Infantry games</t>
  </si>
  <si>
    <t>No. Tank games</t>
  </si>
  <si>
    <t>No. Mechanised games</t>
  </si>
  <si>
    <t>No Combined games</t>
  </si>
  <si>
    <t>General</t>
  </si>
  <si>
    <t>vs. Infantry</t>
  </si>
  <si>
    <t>Loss rate</t>
  </si>
  <si>
    <t>Win rate on Attack pick</t>
  </si>
  <si>
    <t>Win rate on Maneuver pick</t>
  </si>
  <si>
    <t>Win rate on Defend pick</t>
  </si>
  <si>
    <t>vs. Tank</t>
  </si>
  <si>
    <t>vs. Mechanised Infantry</t>
  </si>
  <si>
    <t>vs. Combined</t>
  </si>
  <si>
    <t>Attack win rate</t>
  </si>
  <si>
    <t>Manoeuvre win rate</t>
  </si>
  <si>
    <t>Defend win rate</t>
  </si>
  <si>
    <t>Defender Win rate</t>
  </si>
  <si>
    <t>Attacker Win rate</t>
  </si>
  <si>
    <t>Defender avg. score/match</t>
  </si>
  <si>
    <t>Attacker avg. score/match</t>
  </si>
  <si>
    <t>Enemy Force</t>
  </si>
  <si>
    <t>Tank/Infantry</t>
  </si>
  <si>
    <t>Tank/Mech. Infantry</t>
  </si>
  <si>
    <t>Mech. Infantry</t>
  </si>
  <si>
    <t>Friendly Force</t>
  </si>
  <si>
    <t>Win rates for forces and stances</t>
  </si>
  <si>
    <t>Combined</t>
  </si>
  <si>
    <t>Information</t>
  </si>
  <si>
    <t>- To simplify the data, win/lose/draw rate reports include mirror match-ups and report as a win and loss (i.e. a single non-drawing mirror matchup will result in a 50% win rate)</t>
  </si>
  <si>
    <t>- The "data" and "data_mod" sheets are hidden as these are the raw data and edited data that is used for processing in the sheets</t>
  </si>
  <si>
    <t>- The data sheets in this workbook are locked to prevent accidental deletion or editing of information</t>
  </si>
  <si>
    <t>- To unlock the sheets for editing, go to the "Review" tab and Unprotect the worksheet by using the password "saltire3"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</si>
</sst>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1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65" fontId="0" fillId="0" borderId="2" xfId="0" applyNumberFormat="1" applyBorder="1"/>
    <xf numFmtId="0" fontId="0" fillId="0" borderId="9" xfId="0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65" fontId="0" fillId="0" borderId="3" xfId="0" applyNumberFormat="1" applyBorder="1"/>
    <xf numFmtId="165" fontId="0" fillId="0" borderId="13" xfId="0" applyNumberFormat="1" applyBorder="1"/>
    <xf numFmtId="0" fontId="2" fillId="0" borderId="14" xfId="0" applyFont="1" applyBorder="1"/>
    <xf numFmtId="164" fontId="0" fillId="0" borderId="3" xfId="0" applyNumberFormat="1" applyBorder="1"/>
    <xf numFmtId="164" fontId="0" fillId="0" borderId="2" xfId="1" applyNumberFormat="1" applyFont="1" applyBorder="1"/>
    <xf numFmtId="164" fontId="0" fillId="0" borderId="13" xfId="1" applyNumberFormat="1" applyFont="1" applyBorder="1"/>
    <xf numFmtId="0" fontId="0" fillId="0" borderId="15" xfId="0" applyBorder="1"/>
    <xf numFmtId="0" fontId="0" fillId="0" borderId="13" xfId="0" applyBorder="1"/>
    <xf numFmtId="0" fontId="2" fillId="0" borderId="20" xfId="0" applyFont="1" applyBorder="1"/>
    <xf numFmtId="0" fontId="2" fillId="0" borderId="7" xfId="0" applyFont="1" applyBorder="1"/>
    <xf numFmtId="0" fontId="2" fillId="0" borderId="19" xfId="0" applyFont="1" applyBorder="1"/>
    <xf numFmtId="0" fontId="2" fillId="0" borderId="8" xfId="0" applyFont="1" applyBorder="1"/>
    <xf numFmtId="0" fontId="2" fillId="0" borderId="18" xfId="0" applyFont="1" applyBorder="1"/>
    <xf numFmtId="165" fontId="0" fillId="0" borderId="15" xfId="0" applyNumberFormat="1" applyBorder="1"/>
    <xf numFmtId="0" fontId="2" fillId="0" borderId="21" xfId="0" applyFont="1" applyBorder="1"/>
    <xf numFmtId="0" fontId="2" fillId="0" borderId="22" xfId="0" applyFont="1" applyBorder="1"/>
    <xf numFmtId="165" fontId="0" fillId="0" borderId="0" xfId="0" applyNumberFormat="1"/>
    <xf numFmtId="2" fontId="0" fillId="0" borderId="13" xfId="0" applyNumberFormat="1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164" fontId="0" fillId="0" borderId="15" xfId="1" applyNumberFormat="1" applyFont="1" applyBorder="1"/>
    <xf numFmtId="164" fontId="0" fillId="0" borderId="3" xfId="1" applyNumberFormat="1" applyFont="1" applyBorder="1"/>
    <xf numFmtId="165" fontId="0" fillId="0" borderId="1" xfId="0" applyNumberFormat="1" applyBorder="1"/>
    <xf numFmtId="2" fontId="0" fillId="0" borderId="15" xfId="0" applyNumberFormat="1" applyBorder="1"/>
    <xf numFmtId="0" fontId="0" fillId="0" borderId="23" xfId="0" applyBorder="1"/>
    <xf numFmtId="164" fontId="0" fillId="0" borderId="0" xfId="0" applyNumberFormat="1"/>
    <xf numFmtId="164" fontId="0" fillId="0" borderId="1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15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0" fillId="0" borderId="13" xfId="1" applyNumberFormat="1" applyFont="1" applyBorder="1" applyAlignment="1">
      <alignment horizontal="right"/>
    </xf>
    <xf numFmtId="164" fontId="0" fillId="0" borderId="1" xfId="0" applyNumberFormat="1" applyBorder="1"/>
    <xf numFmtId="0" fontId="0" fillId="0" borderId="24" xfId="0" applyBorder="1"/>
    <xf numFmtId="0" fontId="2" fillId="0" borderId="25" xfId="0" applyFont="1" applyBorder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26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3" xfId="0" applyBorder="1" applyAlignment="1">
      <alignment horizontal="right"/>
    </xf>
    <xf numFmtId="1" fontId="0" fillId="0" borderId="15" xfId="0" applyNumberForma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2" xfId="0" applyNumberFormat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0" fontId="2" fillId="0" borderId="30" xfId="0" applyFont="1" applyBorder="1"/>
    <xf numFmtId="0" fontId="2" fillId="0" borderId="23" xfId="0" applyFont="1" applyBorder="1"/>
    <xf numFmtId="164" fontId="0" fillId="0" borderId="26" xfId="1" applyNumberFormat="1" applyFont="1" applyBorder="1"/>
    <xf numFmtId="164" fontId="0" fillId="0" borderId="27" xfId="1" applyNumberFormat="1" applyFont="1" applyBorder="1"/>
    <xf numFmtId="164" fontId="0" fillId="0" borderId="28" xfId="1" applyNumberFormat="1" applyFont="1" applyBorder="1"/>
    <xf numFmtId="0" fontId="2" fillId="0" borderId="31" xfId="0" applyFont="1" applyBorder="1"/>
    <xf numFmtId="0" fontId="0" fillId="0" borderId="28" xfId="0" applyBorder="1"/>
    <xf numFmtId="0" fontId="0" fillId="5" borderId="1" xfId="0" applyFill="1" applyBorder="1"/>
    <xf numFmtId="0" fontId="0" fillId="2" borderId="1" xfId="0" applyFill="1" applyBorder="1"/>
    <xf numFmtId="164" fontId="0" fillId="0" borderId="0" xfId="1" applyNumberFormat="1" applyFont="1"/>
    <xf numFmtId="2" fontId="0" fillId="0" borderId="0" xfId="0" applyNumberFormat="1"/>
    <xf numFmtId="2" fontId="0" fillId="0" borderId="2" xfId="0" applyNumberFormat="1" applyBorder="1"/>
    <xf numFmtId="0" fontId="0" fillId="4" borderId="1" xfId="0" applyFill="1" applyBorder="1"/>
    <xf numFmtId="0" fontId="0" fillId="3" borderId="3" xfId="0" applyFill="1" applyBorder="1"/>
    <xf numFmtId="9" fontId="0" fillId="0" borderId="0" xfId="1" applyFont="1"/>
    <xf numFmtId="164" fontId="0" fillId="0" borderId="16" xfId="1" applyNumberFormat="1" applyFont="1" applyBorder="1"/>
    <xf numFmtId="0" fontId="0" fillId="3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7" xfId="1" applyNumberFormat="1" applyFont="1" applyBorder="1"/>
    <xf numFmtId="164" fontId="0" fillId="0" borderId="32" xfId="1" applyNumberFormat="1" applyFont="1" applyBorder="1"/>
    <xf numFmtId="164" fontId="0" fillId="0" borderId="34" xfId="1" applyNumberFormat="1" applyFont="1" applyBorder="1"/>
    <xf numFmtId="164" fontId="0" fillId="0" borderId="14" xfId="1" applyNumberFormat="1" applyFont="1" applyBorder="1"/>
    <xf numFmtId="164" fontId="0" fillId="0" borderId="20" xfId="1" applyNumberFormat="1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 textRotation="90"/>
    </xf>
    <xf numFmtId="0" fontId="0" fillId="3" borderId="8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" fillId="6" borderId="0" xfId="2"/>
    <xf numFmtId="49" fontId="1" fillId="6" borderId="0" xfId="2" applyNumberFormat="1"/>
    <xf numFmtId="0" fontId="1" fillId="7" borderId="0" xfId="3"/>
    <xf numFmtId="49" fontId="1" fillId="7" borderId="0" xfId="3" applyNumberFormat="1"/>
  </cellXfs>
  <cellStyles count="4">
    <cellStyle name="20% - Accent1" xfId="2" builtinId="30"/>
    <cellStyle name="20% - Accent3" xfId="3" builtinId="38"/>
    <cellStyle name="Normal" xfId="0" builtinId="0"/>
    <cellStyle name="Percent" xfId="1" builtinId="5"/>
  </cellStyles>
  <dxfs count="188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3399FF"/>
        </patternFill>
      </fill>
    </dxf>
    <dxf>
      <fill>
        <patternFill>
          <bgColor rgb="FFFFFF66"/>
        </patternFill>
      </fill>
    </dxf>
    <dxf>
      <fill>
        <patternFill>
          <bgColor rgb="FFFF5050"/>
        </patternFill>
      </fill>
    </dxf>
    <dxf>
      <fill>
        <patternFill>
          <bgColor rgb="FFCC99FF"/>
        </patternFill>
      </fill>
    </dxf>
    <dxf>
      <fill>
        <patternFill>
          <bgColor theme="1" tint="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3399FF"/>
        </patternFill>
      </fill>
    </dxf>
    <dxf>
      <fill>
        <patternFill>
          <bgColor rgb="FFFFFF66"/>
        </patternFill>
      </fill>
    </dxf>
    <dxf>
      <fill>
        <patternFill>
          <bgColor rgb="FFFF5050"/>
        </patternFill>
      </fill>
    </dxf>
    <dxf>
      <fill>
        <patternFill>
          <bgColor rgb="FFCC99FF"/>
        </patternFill>
      </fill>
    </dxf>
    <dxf>
      <fill>
        <patternFill>
          <bgColor theme="1" tint="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3399FF"/>
        </patternFill>
      </fill>
    </dxf>
    <dxf>
      <fill>
        <patternFill>
          <bgColor rgb="FFFFFF66"/>
        </patternFill>
      </fill>
    </dxf>
    <dxf>
      <fill>
        <patternFill>
          <bgColor rgb="FFFF5050"/>
        </patternFill>
      </fill>
    </dxf>
    <dxf>
      <fill>
        <patternFill>
          <bgColor rgb="FFCC99FF"/>
        </patternFill>
      </fill>
    </dxf>
    <dxf>
      <fill>
        <patternFill>
          <bgColor theme="1" tint="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0" tint="-0.14996795556505021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0" tint="-0.14996795556505021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89996032593768116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b val="0"/>
        <i/>
        <strike val="0"/>
      </font>
      <fill>
        <patternFill patternType="solid">
          <bgColor theme="0" tint="-4.9989318521683403E-2"/>
        </patternFill>
      </fill>
    </dxf>
    <dxf>
      <fill>
        <patternFill>
          <bgColor rgb="FF3399FF"/>
        </patternFill>
      </fill>
    </dxf>
    <dxf>
      <fill>
        <patternFill>
          <bgColor rgb="FFFFFF66"/>
        </patternFill>
      </fill>
    </dxf>
    <dxf>
      <fill>
        <patternFill>
          <bgColor rgb="FFFF5050"/>
        </patternFill>
      </fill>
    </dxf>
    <dxf>
      <fill>
        <patternFill>
          <bgColor rgb="FFCC99FF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rgb="FFFFCCCC"/>
        </patternFill>
      </fill>
    </dxf>
    <dxf>
      <fill>
        <patternFill>
          <bgColor rgb="FFFF99CC"/>
        </patternFill>
      </fill>
    </dxf>
    <dxf>
      <fill>
        <patternFill>
          <bgColor rgb="FFCCECFF"/>
        </patternFill>
      </fill>
    </dxf>
    <dxf>
      <fill>
        <patternFill>
          <bgColor rgb="FFCCCCFF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0066FF"/>
        </patternFill>
      </fill>
    </dxf>
    <dxf>
      <fill>
        <patternFill>
          <bgColor rgb="FF66CCFF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colors>
    <mruColors>
      <color rgb="FFFF6600"/>
      <color rgb="FFCC99FF"/>
      <color rgb="FFFF5050"/>
      <color rgb="FF3399FF"/>
      <color rgb="FFFFFF66"/>
      <color rgb="FFFF3300"/>
      <color rgb="FFFF0000"/>
      <color rgb="FF0066FF"/>
      <color rgb="FFCC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</a:t>
            </a:r>
            <a:r>
              <a:rPr lang="en-GB" baseline="0"/>
              <a:t> Saltire III - Win/Lose/Draw rate by Formation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'Formation information'!$D$1</c:f>
              <c:strCache>
                <c:ptCount val="1"/>
                <c:pt idx="0">
                  <c:v>Win 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'Formation information'!$A$2:$A$31</c15:sqref>
                  </c15:fullRef>
                </c:ext>
              </c:extLst>
              <c:f>'Formation information'!$A$2:$A$26</c:f>
              <c:strCache>
                <c:ptCount val="25"/>
                <c:pt idx="0">
                  <c:v>Panzer IV SS Tank Company </c:v>
                </c:pt>
                <c:pt idx="1">
                  <c:v>Berlin Battle Group</c:v>
                </c:pt>
                <c:pt idx="2">
                  <c:v>IS-85 Guards Heavy Tank Regiment</c:v>
                </c:pt>
                <c:pt idx="3">
                  <c:v>Ram Armoured Squadron</c:v>
                </c:pt>
                <c:pt idx="4">
                  <c:v>StuG SS Tank Company</c:v>
                </c:pt>
                <c:pt idx="5">
                  <c:v>Volksgrenadier Company</c:v>
                </c:pt>
                <c:pt idx="6">
                  <c:v>Heavy Tank Training Company</c:v>
                </c:pt>
                <c:pt idx="7">
                  <c:v>Motorised Rifle Company</c:v>
                </c:pt>
                <c:pt idx="8">
                  <c:v>Beach Defence Grenadier Company</c:v>
                </c:pt>
                <c:pt idx="9">
                  <c:v>Hero Motor Rifle Battalion</c:v>
                </c:pt>
                <c:pt idx="10">
                  <c:v>Hero IS-2 (Late) Guards Heavy Tank Regiment</c:v>
                </c:pt>
                <c:pt idx="11">
                  <c:v>Medium SP Artillery Regiment</c:v>
                </c:pt>
                <c:pt idx="12">
                  <c:v>Panther Tank Company</c:v>
                </c:pt>
                <c:pt idx="13">
                  <c:v>Kangaroo Rifle Company</c:v>
                </c:pt>
                <c:pt idx="14">
                  <c:v>T-34 Tank Battalion</c:v>
                </c:pt>
                <c:pt idx="15">
                  <c:v>Red Banner Rifle Regiment</c:v>
                </c:pt>
                <c:pt idx="16">
                  <c:v>Brigade Armoured Assault Company</c:v>
                </c:pt>
                <c:pt idx="17">
                  <c:v>Desert Rats Cromwell Armoured Squadron</c:v>
                </c:pt>
                <c:pt idx="18">
                  <c:v>Panzer Battle Group</c:v>
                </c:pt>
                <c:pt idx="19">
                  <c:v>Turán Tank Company</c:v>
                </c:pt>
                <c:pt idx="20">
                  <c:v>Veteran M4 Sherman (Late) Tank Company</c:v>
                </c:pt>
                <c:pt idx="21">
                  <c:v>Armoured SS Panzergrenadier Company</c:v>
                </c:pt>
                <c:pt idx="22">
                  <c:v>Hero T-34 (85mm) Tank Battalion (Allied Formation)</c:v>
                </c:pt>
                <c:pt idx="23">
                  <c:v>Battle Weary Rifle Company</c:v>
                </c:pt>
                <c:pt idx="24">
                  <c:v>Parachute Rifle Company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'Formation information'!$D$2:$D$31</c15:sqref>
                  </c15:fullRef>
                </c:ext>
              </c:extLst>
              <c:f>'Formation information'!$D$2:$D$26</c:f>
              <c:numCache>
                <c:formatCode>0.0%</c:formatCode>
                <c:ptCount val="25"/>
                <c:pt idx="0">
                  <c:v>0.33333333333333331</c:v>
                </c:pt>
                <c:pt idx="1">
                  <c:v>0.42105263157894735</c:v>
                </c:pt>
                <c:pt idx="2">
                  <c:v>0</c:v>
                </c:pt>
                <c:pt idx="3">
                  <c:v>0.4</c:v>
                </c:pt>
                <c:pt idx="4">
                  <c:v>0.4</c:v>
                </c:pt>
                <c:pt idx="5">
                  <c:v>0.25</c:v>
                </c:pt>
                <c:pt idx="6">
                  <c:v>0.5</c:v>
                </c:pt>
                <c:pt idx="7">
                  <c:v>0.33333333333333331</c:v>
                </c:pt>
                <c:pt idx="8">
                  <c:v>0.14285714285714285</c:v>
                </c:pt>
                <c:pt idx="9">
                  <c:v>0.21428571428571427</c:v>
                </c:pt>
                <c:pt idx="10">
                  <c:v>0.2</c:v>
                </c:pt>
                <c:pt idx="11">
                  <c:v>0.4</c:v>
                </c:pt>
                <c:pt idx="12">
                  <c:v>0.75</c:v>
                </c:pt>
                <c:pt idx="13">
                  <c:v>0.4</c:v>
                </c:pt>
                <c:pt idx="14">
                  <c:v>0.25</c:v>
                </c:pt>
                <c:pt idx="15">
                  <c:v>0.8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0.25</c:v>
                </c:pt>
                <c:pt idx="20">
                  <c:v>0.625</c:v>
                </c:pt>
                <c:pt idx="21">
                  <c:v>0.33333333333333331</c:v>
                </c:pt>
                <c:pt idx="22">
                  <c:v>0.33333333333333331</c:v>
                </c:pt>
                <c:pt idx="23">
                  <c:v>0.8</c:v>
                </c:pt>
                <c:pt idx="2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90-4E82-8157-7E5C7027D09E}"/>
            </c:ext>
          </c:extLst>
        </c:ser>
        <c:ser>
          <c:idx val="3"/>
          <c:order val="3"/>
          <c:tx>
            <c:strRef>
              <c:f>'Formation information'!$E$1</c:f>
              <c:strCache>
                <c:ptCount val="1"/>
                <c:pt idx="0">
                  <c:v>Loss %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'Formation information'!$A$2:$A$31</c15:sqref>
                  </c15:fullRef>
                </c:ext>
              </c:extLst>
              <c:f>'Formation information'!$A$2:$A$26</c:f>
              <c:strCache>
                <c:ptCount val="25"/>
                <c:pt idx="0">
                  <c:v>Panzer IV SS Tank Company </c:v>
                </c:pt>
                <c:pt idx="1">
                  <c:v>Berlin Battle Group</c:v>
                </c:pt>
                <c:pt idx="2">
                  <c:v>IS-85 Guards Heavy Tank Regiment</c:v>
                </c:pt>
                <c:pt idx="3">
                  <c:v>Ram Armoured Squadron</c:v>
                </c:pt>
                <c:pt idx="4">
                  <c:v>StuG SS Tank Company</c:v>
                </c:pt>
                <c:pt idx="5">
                  <c:v>Volksgrenadier Company</c:v>
                </c:pt>
                <c:pt idx="6">
                  <c:v>Heavy Tank Training Company</c:v>
                </c:pt>
                <c:pt idx="7">
                  <c:v>Motorised Rifle Company</c:v>
                </c:pt>
                <c:pt idx="8">
                  <c:v>Beach Defence Grenadier Company</c:v>
                </c:pt>
                <c:pt idx="9">
                  <c:v>Hero Motor Rifle Battalion</c:v>
                </c:pt>
                <c:pt idx="10">
                  <c:v>Hero IS-2 (Late) Guards Heavy Tank Regiment</c:v>
                </c:pt>
                <c:pt idx="11">
                  <c:v>Medium SP Artillery Regiment</c:v>
                </c:pt>
                <c:pt idx="12">
                  <c:v>Panther Tank Company</c:v>
                </c:pt>
                <c:pt idx="13">
                  <c:v>Kangaroo Rifle Company</c:v>
                </c:pt>
                <c:pt idx="14">
                  <c:v>T-34 Tank Battalion</c:v>
                </c:pt>
                <c:pt idx="15">
                  <c:v>Red Banner Rifle Regiment</c:v>
                </c:pt>
                <c:pt idx="16">
                  <c:v>Brigade Armoured Assault Company</c:v>
                </c:pt>
                <c:pt idx="17">
                  <c:v>Desert Rats Cromwell Armoured Squadron</c:v>
                </c:pt>
                <c:pt idx="18">
                  <c:v>Panzer Battle Group</c:v>
                </c:pt>
                <c:pt idx="19">
                  <c:v>Turán Tank Company</c:v>
                </c:pt>
                <c:pt idx="20">
                  <c:v>Veteran M4 Sherman (Late) Tank Company</c:v>
                </c:pt>
                <c:pt idx="21">
                  <c:v>Armoured SS Panzergrenadier Company</c:v>
                </c:pt>
                <c:pt idx="22">
                  <c:v>Hero T-34 (85mm) Tank Battalion (Allied Formation)</c:v>
                </c:pt>
                <c:pt idx="23">
                  <c:v>Battle Weary Rifle Company</c:v>
                </c:pt>
                <c:pt idx="24">
                  <c:v>Parachute Rifle Company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'Formation information'!$E$2:$E$31</c15:sqref>
                  </c15:fullRef>
                </c:ext>
              </c:extLst>
              <c:f>'Formation information'!$E$2:$E$26</c:f>
              <c:numCache>
                <c:formatCode>0.0%</c:formatCode>
                <c:ptCount val="25"/>
                <c:pt idx="0">
                  <c:v>0.33333333333333331</c:v>
                </c:pt>
                <c:pt idx="1">
                  <c:v>0.31578947368421051</c:v>
                </c:pt>
                <c:pt idx="2">
                  <c:v>0.75</c:v>
                </c:pt>
                <c:pt idx="3">
                  <c:v>0.4</c:v>
                </c:pt>
                <c:pt idx="4">
                  <c:v>0.4</c:v>
                </c:pt>
                <c:pt idx="5">
                  <c:v>0.625</c:v>
                </c:pt>
                <c:pt idx="6">
                  <c:v>0.5</c:v>
                </c:pt>
                <c:pt idx="7">
                  <c:v>0.33333333333333331</c:v>
                </c:pt>
                <c:pt idx="8">
                  <c:v>0.5</c:v>
                </c:pt>
                <c:pt idx="9">
                  <c:v>0.35714285714285715</c:v>
                </c:pt>
                <c:pt idx="10">
                  <c:v>0.8</c:v>
                </c:pt>
                <c:pt idx="11">
                  <c:v>0.2</c:v>
                </c:pt>
                <c:pt idx="12">
                  <c:v>0.25</c:v>
                </c:pt>
                <c:pt idx="13">
                  <c:v>0.4</c:v>
                </c:pt>
                <c:pt idx="14">
                  <c:v>0.25</c:v>
                </c:pt>
                <c:pt idx="15">
                  <c:v>0</c:v>
                </c:pt>
                <c:pt idx="16">
                  <c:v>0.2</c:v>
                </c:pt>
                <c:pt idx="17">
                  <c:v>0.6</c:v>
                </c:pt>
                <c:pt idx="18">
                  <c:v>0.8</c:v>
                </c:pt>
                <c:pt idx="19">
                  <c:v>0.5</c:v>
                </c:pt>
                <c:pt idx="20">
                  <c:v>0.125</c:v>
                </c:pt>
                <c:pt idx="21">
                  <c:v>0.33333333333333331</c:v>
                </c:pt>
                <c:pt idx="22">
                  <c:v>0.33333333333333331</c:v>
                </c:pt>
                <c:pt idx="23">
                  <c:v>0</c:v>
                </c:pt>
                <c:pt idx="2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90-4E82-8157-7E5C7027D09E}"/>
            </c:ext>
          </c:extLst>
        </c:ser>
        <c:ser>
          <c:idx val="4"/>
          <c:order val="4"/>
          <c:tx>
            <c:strRef>
              <c:f>'Formation information'!$F$1</c:f>
              <c:strCache>
                <c:ptCount val="1"/>
                <c:pt idx="0">
                  <c:v>Draw 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'Formation information'!$A$2:$A$31</c15:sqref>
                  </c15:fullRef>
                </c:ext>
              </c:extLst>
              <c:f>'Formation information'!$A$2:$A$26</c:f>
              <c:strCache>
                <c:ptCount val="25"/>
                <c:pt idx="0">
                  <c:v>Panzer IV SS Tank Company </c:v>
                </c:pt>
                <c:pt idx="1">
                  <c:v>Berlin Battle Group</c:v>
                </c:pt>
                <c:pt idx="2">
                  <c:v>IS-85 Guards Heavy Tank Regiment</c:v>
                </c:pt>
                <c:pt idx="3">
                  <c:v>Ram Armoured Squadron</c:v>
                </c:pt>
                <c:pt idx="4">
                  <c:v>StuG SS Tank Company</c:v>
                </c:pt>
                <c:pt idx="5">
                  <c:v>Volksgrenadier Company</c:v>
                </c:pt>
                <c:pt idx="6">
                  <c:v>Heavy Tank Training Company</c:v>
                </c:pt>
                <c:pt idx="7">
                  <c:v>Motorised Rifle Company</c:v>
                </c:pt>
                <c:pt idx="8">
                  <c:v>Beach Defence Grenadier Company</c:v>
                </c:pt>
                <c:pt idx="9">
                  <c:v>Hero Motor Rifle Battalion</c:v>
                </c:pt>
                <c:pt idx="10">
                  <c:v>Hero IS-2 (Late) Guards Heavy Tank Regiment</c:v>
                </c:pt>
                <c:pt idx="11">
                  <c:v>Medium SP Artillery Regiment</c:v>
                </c:pt>
                <c:pt idx="12">
                  <c:v>Panther Tank Company</c:v>
                </c:pt>
                <c:pt idx="13">
                  <c:v>Kangaroo Rifle Company</c:v>
                </c:pt>
                <c:pt idx="14">
                  <c:v>T-34 Tank Battalion</c:v>
                </c:pt>
                <c:pt idx="15">
                  <c:v>Red Banner Rifle Regiment</c:v>
                </c:pt>
                <c:pt idx="16">
                  <c:v>Brigade Armoured Assault Company</c:v>
                </c:pt>
                <c:pt idx="17">
                  <c:v>Desert Rats Cromwell Armoured Squadron</c:v>
                </c:pt>
                <c:pt idx="18">
                  <c:v>Panzer Battle Group</c:v>
                </c:pt>
                <c:pt idx="19">
                  <c:v>Turán Tank Company</c:v>
                </c:pt>
                <c:pt idx="20">
                  <c:v>Veteran M4 Sherman (Late) Tank Company</c:v>
                </c:pt>
                <c:pt idx="21">
                  <c:v>Armoured SS Panzergrenadier Company</c:v>
                </c:pt>
                <c:pt idx="22">
                  <c:v>Hero T-34 (85mm) Tank Battalion (Allied Formation)</c:v>
                </c:pt>
                <c:pt idx="23">
                  <c:v>Battle Weary Rifle Company</c:v>
                </c:pt>
                <c:pt idx="24">
                  <c:v>Parachute Rifle Company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'Formation information'!$F$2:$F$31</c15:sqref>
                  </c15:fullRef>
                </c:ext>
              </c:extLst>
              <c:f>'Formation information'!$F$2:$F$26</c:f>
              <c:numCache>
                <c:formatCode>0.0%</c:formatCode>
                <c:ptCount val="25"/>
                <c:pt idx="0">
                  <c:v>0.33333333333333331</c:v>
                </c:pt>
                <c:pt idx="1">
                  <c:v>0.26315789473684209</c:v>
                </c:pt>
                <c:pt idx="2">
                  <c:v>0.25</c:v>
                </c:pt>
                <c:pt idx="3">
                  <c:v>0.2</c:v>
                </c:pt>
                <c:pt idx="4">
                  <c:v>0.2</c:v>
                </c:pt>
                <c:pt idx="5">
                  <c:v>0.125</c:v>
                </c:pt>
                <c:pt idx="6">
                  <c:v>0</c:v>
                </c:pt>
                <c:pt idx="7">
                  <c:v>0.33333333333333331</c:v>
                </c:pt>
                <c:pt idx="8">
                  <c:v>0.35714285714285715</c:v>
                </c:pt>
                <c:pt idx="9">
                  <c:v>0.42857142857142855</c:v>
                </c:pt>
                <c:pt idx="10">
                  <c:v>0</c:v>
                </c:pt>
                <c:pt idx="11">
                  <c:v>0.4</c:v>
                </c:pt>
                <c:pt idx="12">
                  <c:v>0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</c:v>
                </c:pt>
                <c:pt idx="19">
                  <c:v>0.25</c:v>
                </c:pt>
                <c:pt idx="20">
                  <c:v>0.25</c:v>
                </c:pt>
                <c:pt idx="21">
                  <c:v>0.33333333333333331</c:v>
                </c:pt>
                <c:pt idx="22">
                  <c:v>0.33333333333333331</c:v>
                </c:pt>
                <c:pt idx="23">
                  <c:v>0.2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90-4E82-8157-7E5C7027D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483312"/>
        <c:axId val="4411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'Formation information'!$B$1</c15:sqref>
                        </c15:formulaRef>
                      </c:ext>
                    </c:extLst>
                    <c:strCache>
                      <c:ptCount val="1"/>
                      <c:pt idx="0">
                        <c:v>Form. Freq.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'Formation information'!$B$2:$B$31</c15:sqref>
                        </c15:fullRef>
                        <c15:formulaRef>
                          <c15:sqref>'Formation information'!$B$2:$B$26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1</c:v>
                      </c:pt>
                      <c:pt idx="1">
                        <c:v>4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3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3</c:v>
                      </c:pt>
                      <c:pt idx="9">
                        <c:v>3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  <c:pt idx="14">
                        <c:v>1</c:v>
                      </c:pt>
                      <c:pt idx="15">
                        <c:v>1</c:v>
                      </c:pt>
                      <c:pt idx="16">
                        <c:v>1</c:v>
                      </c:pt>
                      <c:pt idx="17">
                        <c:v>1</c:v>
                      </c:pt>
                      <c:pt idx="18">
                        <c:v>1</c:v>
                      </c:pt>
                      <c:pt idx="19">
                        <c:v>1</c:v>
                      </c:pt>
                      <c:pt idx="20">
                        <c:v>2</c:v>
                      </c:pt>
                      <c:pt idx="21">
                        <c:v>1</c:v>
                      </c:pt>
                      <c:pt idx="22">
                        <c:v>1</c:v>
                      </c:pt>
                      <c:pt idx="23">
                        <c:v>1</c:v>
                      </c:pt>
                      <c:pt idx="24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90-4E82-8157-7E5C7027D0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information'!$C$1</c15:sqref>
                        </c15:formulaRef>
                      </c:ext>
                    </c:extLst>
                    <c:strCache>
                      <c:ptCount val="1"/>
                      <c:pt idx="0">
                        <c:v>No. games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information'!$C$2:$C$31</c15:sqref>
                        </c15:fullRef>
                        <c15:formulaRef>
                          <c15:sqref>'Formation information'!$C$2:$C$26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</c:v>
                      </c:pt>
                      <c:pt idx="1">
                        <c:v>19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5</c:v>
                      </c:pt>
                      <c:pt idx="5">
                        <c:v>8</c:v>
                      </c:pt>
                      <c:pt idx="6">
                        <c:v>2</c:v>
                      </c:pt>
                      <c:pt idx="7">
                        <c:v>3</c:v>
                      </c:pt>
                      <c:pt idx="8">
                        <c:v>14</c:v>
                      </c:pt>
                      <c:pt idx="9">
                        <c:v>14</c:v>
                      </c:pt>
                      <c:pt idx="10">
                        <c:v>5</c:v>
                      </c:pt>
                      <c:pt idx="11">
                        <c:v>5</c:v>
                      </c:pt>
                      <c:pt idx="12">
                        <c:v>4</c:v>
                      </c:pt>
                      <c:pt idx="13">
                        <c:v>5</c:v>
                      </c:pt>
                      <c:pt idx="14">
                        <c:v>4</c:v>
                      </c:pt>
                      <c:pt idx="15">
                        <c:v>5</c:v>
                      </c:pt>
                      <c:pt idx="16">
                        <c:v>5</c:v>
                      </c:pt>
                      <c:pt idx="17">
                        <c:v>5</c:v>
                      </c:pt>
                      <c:pt idx="18">
                        <c:v>5</c:v>
                      </c:pt>
                      <c:pt idx="19">
                        <c:v>4</c:v>
                      </c:pt>
                      <c:pt idx="20">
                        <c:v>8</c:v>
                      </c:pt>
                      <c:pt idx="21">
                        <c:v>3</c:v>
                      </c:pt>
                      <c:pt idx="22">
                        <c:v>3</c:v>
                      </c:pt>
                      <c:pt idx="23">
                        <c:v>5</c:v>
                      </c:pt>
                      <c:pt idx="24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B90-4E82-8157-7E5C7027D09E}"/>
                  </c:ext>
                </c:extLst>
              </c15:ser>
            </c15:filteredBarSeries>
          </c:ext>
        </c:extLst>
      </c:barChart>
      <c:catAx>
        <c:axId val="12248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1712"/>
        <c:crosses val="autoZero"/>
        <c:auto val="1"/>
        <c:lblAlgn val="ctr"/>
        <c:lblOffset val="100"/>
        <c:noMultiLvlLbl val="0"/>
      </c:catAx>
      <c:valAx>
        <c:axId val="4411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8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Units killed/lost</a:t>
            </a:r>
            <a:r>
              <a:rPr lang="en-GB" baseline="0"/>
              <a:t> by Force makeup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'Force information'!$H$2</c:f>
              <c:strCache>
                <c:ptCount val="1"/>
                <c:pt idx="0">
                  <c:v>Avg. Units lost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information'!$H$3:$H$7</c15:sqref>
                  </c15:fullRef>
                </c:ext>
              </c:extLst>
              <c:f>'Force information'!$H$4:$H$7</c:f>
              <c:numCache>
                <c:formatCode>0.0</c:formatCode>
                <c:ptCount val="4"/>
                <c:pt idx="0">
                  <c:v>2.9090909090909092</c:v>
                </c:pt>
                <c:pt idx="1">
                  <c:v>2.347826086956522</c:v>
                </c:pt>
                <c:pt idx="2">
                  <c:v>2.5476190476190474</c:v>
                </c:pt>
                <c:pt idx="3">
                  <c:v>1.9555555555555555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1-4B1E-84B8-518A25364907}"/>
            </c:ext>
          </c:extLst>
        </c:ser>
        <c:ser>
          <c:idx val="1"/>
          <c:order val="1"/>
          <c:tx>
            <c:strRef>
              <c:f>'Force information'!$I$2</c:f>
              <c:strCache>
                <c:ptCount val="1"/>
                <c:pt idx="0">
                  <c:v>Avg. Units killed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information'!$I$3:$I$7</c15:sqref>
                  </c15:fullRef>
                </c:ext>
              </c:extLst>
              <c:f>'Force information'!$I$4:$I$7</c:f>
              <c:numCache>
                <c:formatCode>0.0</c:formatCode>
                <c:ptCount val="4"/>
                <c:pt idx="0">
                  <c:v>3.0909090909090908</c:v>
                </c:pt>
                <c:pt idx="1">
                  <c:v>2.6956521739130435</c:v>
                </c:pt>
                <c:pt idx="2">
                  <c:v>1.8571428571428572</c:v>
                </c:pt>
                <c:pt idx="3">
                  <c:v>2.4666666666666668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1-4B1E-84B8-518A25364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18876384"/>
        <c:axId val="1118873504"/>
      </c:ba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Overall stance</a:t>
            </a:r>
            <a:r>
              <a:rPr lang="en-GB" baseline="0"/>
              <a:t> win rate by Force makeup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'Force information'!$K$2</c:f>
              <c:strCache>
                <c:ptCount val="1"/>
                <c:pt idx="0">
                  <c:v>Attack win rate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information'!$K$3:$K$7</c15:sqref>
                  </c15:fullRef>
                </c:ext>
              </c:extLst>
              <c:f>'Force information'!$K$4:$K$7</c:f>
              <c:numCache>
                <c:formatCode>0.0%</c:formatCode>
                <c:ptCount val="4"/>
                <c:pt idx="0">
                  <c:v>0.25</c:v>
                </c:pt>
                <c:pt idx="1">
                  <c:v>0.33333333333333331</c:v>
                </c:pt>
                <c:pt idx="2">
                  <c:v>0.29166666666666669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7E-4C87-A4E7-4BAB0D191210}"/>
            </c:ext>
          </c:extLst>
        </c:ser>
        <c:ser>
          <c:idx val="1"/>
          <c:order val="1"/>
          <c:tx>
            <c:strRef>
              <c:f>'Force information'!$L$2</c:f>
              <c:strCache>
                <c:ptCount val="1"/>
                <c:pt idx="0">
                  <c:v>Manoeuvre win rate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information'!$L$3:$L$7</c15:sqref>
                  </c15:fullRef>
                </c:ext>
              </c:extLst>
              <c:f>'Force information'!$L$4:$L$7</c:f>
              <c:numCache>
                <c:formatCode>0.0%</c:formatCode>
                <c:ptCount val="4"/>
                <c:pt idx="0">
                  <c:v>0.66666666666666663</c:v>
                </c:pt>
                <c:pt idx="1">
                  <c:v>0.27272727272727271</c:v>
                </c:pt>
                <c:pt idx="2">
                  <c:v>0.4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7E-4C87-A4E7-4BAB0D191210}"/>
            </c:ext>
          </c:extLst>
        </c:ser>
        <c:ser>
          <c:idx val="2"/>
          <c:order val="2"/>
          <c:tx>
            <c:strRef>
              <c:f>'Force information'!$M$2</c:f>
              <c:strCache>
                <c:ptCount val="1"/>
                <c:pt idx="0">
                  <c:v>Defend win rate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Mechanised Infantry</c:v>
              </c:pt>
              <c:pt idx="1">
                <c:v>Combined Tank/Infantry</c:v>
              </c:pt>
              <c:pt idx="2">
                <c:v>Tank</c:v>
              </c:pt>
              <c:pt idx="3">
                <c:v>Infantry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information'!$M$3:$M$7</c15:sqref>
                  </c15:fullRef>
                </c:ext>
              </c:extLst>
              <c:f>'Force information'!$M$4:$M$7</c:f>
              <c:numCache>
                <c:formatCode>0.0%</c:formatCode>
                <c:ptCount val="4"/>
                <c:pt idx="0">
                  <c:v>0</c:v>
                </c:pt>
                <c:pt idx="1">
                  <c:v>0.55555555555555558</c:v>
                </c:pt>
                <c:pt idx="2">
                  <c:v>0.33333333333333331</c:v>
                </c:pt>
                <c:pt idx="3">
                  <c:v>0.32432432432432434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7E-4C87-A4E7-4BAB0D191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18876384"/>
        <c:axId val="1118873504"/>
      </c:ba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Win</a:t>
            </a:r>
            <a:r>
              <a:rPr lang="en-GB" baseline="0"/>
              <a:t> rate vs. Infantry by Force makeup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'Force information'!$O$2</c:f>
              <c:strCache>
                <c:ptCount val="1"/>
                <c:pt idx="0">
                  <c:v>Win rate on Attack pick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information'!$O$4:$O$7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0-4037-BDA3-F429B113CFB0}"/>
            </c:ext>
          </c:extLst>
        </c:ser>
        <c:ser>
          <c:idx val="1"/>
          <c:order val="1"/>
          <c:tx>
            <c:strRef>
              <c:f>'Force information'!$P$2</c:f>
              <c:strCache>
                <c:ptCount val="1"/>
                <c:pt idx="0">
                  <c:v>Win rate on Maneuver pick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information'!$P$4:$P$7</c:f>
              <c:numCache>
                <c:formatCode>0.0%</c:formatCode>
                <c:ptCount val="4"/>
                <c:pt idx="0">
                  <c:v>1</c:v>
                </c:pt>
                <c:pt idx="1">
                  <c:v>0.4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0-4037-BDA3-F429B113CFB0}"/>
            </c:ext>
          </c:extLst>
        </c:ser>
        <c:ser>
          <c:idx val="2"/>
          <c:order val="2"/>
          <c:tx>
            <c:strRef>
              <c:f>'Force information'!$Q$2</c:f>
              <c:strCache>
                <c:ptCount val="1"/>
                <c:pt idx="0">
                  <c:v>Win rate on Defend pick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information'!$Q$4:$Q$7</c:f>
              <c:numCache>
                <c:formatCode>0.0%</c:formatCode>
                <c:ptCount val="4"/>
                <c:pt idx="0">
                  <c:v>0</c:v>
                </c:pt>
                <c:pt idx="1">
                  <c:v>0.33333333333333331</c:v>
                </c:pt>
                <c:pt idx="2">
                  <c:v>0.5</c:v>
                </c:pt>
                <c:pt idx="3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90-4037-BDA3-F429B113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18876384"/>
        <c:axId val="1118873504"/>
      </c:barChart>
      <c:scatterChart>
        <c:scatterStyle val="lineMarker"/>
        <c:varyColors val="0"/>
        <c:ser>
          <c:idx val="3"/>
          <c:order val="3"/>
          <c:tx>
            <c:strRef>
              <c:f>'Force information'!$N$2</c:f>
              <c:strCache>
                <c:ptCount val="1"/>
                <c:pt idx="0">
                  <c:v>Win rate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3"/>
            <c:spPr>
              <a:noFill/>
              <a:ln w="0">
                <a:solidFill>
                  <a:srgbClr val="92D050"/>
                </a:solidFill>
                <a:tailEnd w="sm" len="sm"/>
              </a:ln>
              <a:effectLst/>
            </c:spPr>
          </c:marker>
          <c:yVal>
            <c:numRef>
              <c:f>'Force information'!$N$4:$N$7</c:f>
              <c:numCache>
                <c:formatCode>0.0%</c:formatCode>
                <c:ptCount val="4"/>
                <c:pt idx="0">
                  <c:v>0.5</c:v>
                </c:pt>
                <c:pt idx="1">
                  <c:v>0.3</c:v>
                </c:pt>
                <c:pt idx="2">
                  <c:v>0.1875</c:v>
                </c:pt>
                <c:pt idx="3">
                  <c:v>0.3125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290-4037-BDA3-F429B113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876384"/>
        <c:axId val="1118873504"/>
      </c:scatte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Win</a:t>
            </a:r>
            <a:r>
              <a:rPr lang="en-GB" baseline="0"/>
              <a:t> rate vs. Tank by Force makeup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'Force information'!$S$2</c:f>
              <c:strCache>
                <c:ptCount val="1"/>
                <c:pt idx="0">
                  <c:v>Win rate on Attack pick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information'!$S$4:$S$7</c:f>
              <c:numCache>
                <c:formatCode>0.0%</c:formatCode>
                <c:ptCount val="4"/>
                <c:pt idx="0">
                  <c:v>0.5</c:v>
                </c:pt>
                <c:pt idx="1">
                  <c:v>0</c:v>
                </c:pt>
                <c:pt idx="2">
                  <c:v>0.5714285714285714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D-4AB9-9662-870AF2D01DD6}"/>
            </c:ext>
          </c:extLst>
        </c:ser>
        <c:ser>
          <c:idx val="1"/>
          <c:order val="1"/>
          <c:tx>
            <c:strRef>
              <c:f>'Force information'!$T$2</c:f>
              <c:strCache>
                <c:ptCount val="1"/>
                <c:pt idx="0">
                  <c:v>Win rate on Maneuver pick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information'!$T$4:$T$7</c:f>
              <c:numCache>
                <c:formatCode>0.0%</c:formatCode>
                <c:ptCount val="4"/>
                <c:pt idx="0">
                  <c:v>0.33333333333333331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D-4AB9-9662-870AF2D01DD6}"/>
            </c:ext>
          </c:extLst>
        </c:ser>
        <c:ser>
          <c:idx val="2"/>
          <c:order val="2"/>
          <c:tx>
            <c:strRef>
              <c:f>'Force information'!$U$2</c:f>
              <c:strCache>
                <c:ptCount val="1"/>
                <c:pt idx="0">
                  <c:v>Win rate on Defend pick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information'!$U$4:$U$7</c:f>
              <c:numCache>
                <c:formatCode>0.0%</c:formatCode>
                <c:ptCount val="4"/>
                <c:pt idx="0">
                  <c:v>0</c:v>
                </c:pt>
                <c:pt idx="1">
                  <c:v>0.6</c:v>
                </c:pt>
                <c:pt idx="2">
                  <c:v>0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CD-4AB9-9662-870AF2D0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18876384"/>
        <c:axId val="1118873504"/>
      </c:barChart>
      <c:scatterChart>
        <c:scatterStyle val="lineMarker"/>
        <c:varyColors val="0"/>
        <c:ser>
          <c:idx val="3"/>
          <c:order val="3"/>
          <c:tx>
            <c:strRef>
              <c:f>'Force information'!$R$2</c:f>
              <c:strCache>
                <c:ptCount val="1"/>
                <c:pt idx="0">
                  <c:v>Win rate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3"/>
            <c:spPr>
              <a:noFill/>
              <a:ln w="0">
                <a:solidFill>
                  <a:srgbClr val="92D050"/>
                </a:solidFill>
                <a:tailEnd w="sm" len="sm"/>
              </a:ln>
              <a:effectLst/>
            </c:spPr>
          </c:marker>
          <c:yVal>
            <c:numRef>
              <c:f>'Force information'!$R$4:$R$7</c:f>
              <c:numCache>
                <c:formatCode>0.0%</c:formatCode>
                <c:ptCount val="4"/>
                <c:pt idx="0">
                  <c:v>0.4</c:v>
                </c:pt>
                <c:pt idx="1">
                  <c:v>0.375</c:v>
                </c:pt>
                <c:pt idx="2">
                  <c:v>0.5</c:v>
                </c:pt>
                <c:pt idx="3">
                  <c:v>0.5625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0CD-4AB9-9662-870AF2D0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876384"/>
        <c:axId val="1118873504"/>
      </c:scatte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Win</a:t>
            </a:r>
            <a:r>
              <a:rPr lang="en-GB" baseline="0"/>
              <a:t> rate vs. Mechanised Infantry by Force makeup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'Force information'!$W$2</c:f>
              <c:strCache>
                <c:ptCount val="1"/>
                <c:pt idx="0">
                  <c:v>Win rate on Attack pick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information'!$W$4:$W$7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9-4DC3-97EA-B09C38A9E84E}"/>
            </c:ext>
          </c:extLst>
        </c:ser>
        <c:ser>
          <c:idx val="1"/>
          <c:order val="1"/>
          <c:tx>
            <c:strRef>
              <c:f>'Force information'!$X$2</c:f>
              <c:strCache>
                <c:ptCount val="1"/>
                <c:pt idx="0">
                  <c:v>Win rate on Maneuver pick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information'!$X$4:$X$7</c:f>
              <c:numCache>
                <c:formatCode>0.0%</c:formatCode>
                <c:ptCount val="4"/>
                <c:pt idx="0">
                  <c:v>1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9-4DC3-97EA-B09C38A9E84E}"/>
            </c:ext>
          </c:extLst>
        </c:ser>
        <c:ser>
          <c:idx val="2"/>
          <c:order val="2"/>
          <c:tx>
            <c:strRef>
              <c:f>'Force information'!$Y$2</c:f>
              <c:strCache>
                <c:ptCount val="1"/>
                <c:pt idx="0">
                  <c:v>Win rate on Defend pick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information'!$Y$4:$Y$7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E9-4DC3-97EA-B09C38A9E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18876384"/>
        <c:axId val="1118873504"/>
      </c:barChart>
      <c:scatterChart>
        <c:scatterStyle val="lineMarker"/>
        <c:varyColors val="0"/>
        <c:ser>
          <c:idx val="3"/>
          <c:order val="3"/>
          <c:tx>
            <c:strRef>
              <c:f>'Force information'!$V$2</c:f>
              <c:strCache>
                <c:ptCount val="1"/>
                <c:pt idx="0">
                  <c:v>Win rate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3"/>
            <c:spPr>
              <a:noFill/>
              <a:ln w="0">
                <a:solidFill>
                  <a:srgbClr val="92D050"/>
                </a:solidFill>
                <a:tailEnd w="sm" len="sm"/>
              </a:ln>
              <a:effectLst/>
            </c:spPr>
          </c:marker>
          <c:yVal>
            <c:numRef>
              <c:f>'Force information'!$V$4:$V$7</c:f>
              <c:numCache>
                <c:formatCode>0.0%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0.2</c:v>
                </c:pt>
                <c:pt idx="3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E9-4DC3-97EA-B09C38A9E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876384"/>
        <c:axId val="1118873504"/>
      </c:scatte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Win</a:t>
            </a:r>
            <a:r>
              <a:rPr lang="en-GB" baseline="0"/>
              <a:t> rate vs. Combined by Force makeup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'Force information'!$AA$2</c:f>
              <c:strCache>
                <c:ptCount val="1"/>
                <c:pt idx="0">
                  <c:v>Win rate on Attack pick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information'!$AA$4:$AA$7</c:f>
              <c:numCache>
                <c:formatCode>0.0%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0.33333333333333331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E-42DA-AF7F-3E304088ED44}"/>
            </c:ext>
          </c:extLst>
        </c:ser>
        <c:ser>
          <c:idx val="1"/>
          <c:order val="1"/>
          <c:tx>
            <c:strRef>
              <c:f>'Force information'!$AB$2</c:f>
              <c:strCache>
                <c:ptCount val="1"/>
                <c:pt idx="0">
                  <c:v>Win rate on Maneuver pick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information'!$AB$4:$AB$7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E-42DA-AF7F-3E304088ED44}"/>
            </c:ext>
          </c:extLst>
        </c:ser>
        <c:ser>
          <c:idx val="2"/>
          <c:order val="2"/>
          <c:tx>
            <c:strRef>
              <c:f>'Force information'!$AC$2</c:f>
              <c:strCache>
                <c:ptCount val="1"/>
                <c:pt idx="0">
                  <c:v>Win rate on Defend pick</c:v>
                </c:pt>
              </c:strCache>
            </c:strRef>
          </c:tx>
          <c:spPr>
            <a:solidFill>
              <a:schemeClr val="tx2">
                <a:lumMod val="90000"/>
                <a:lumOff val="10000"/>
              </a:schemeClr>
            </a:solidFill>
            <a:ln>
              <a:noFill/>
            </a:ln>
            <a:effectLst/>
          </c:spPr>
          <c:invertIfNegative val="0"/>
          <c:cat>
            <c:strRef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f>'Force information'!$AC$4:$AC$7</c:f>
              <c:numCache>
                <c:formatCode>0.0%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2E-42DA-AF7F-3E304088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18876384"/>
        <c:axId val="1118873504"/>
      </c:barChart>
      <c:scatterChart>
        <c:scatterStyle val="lineMarker"/>
        <c:varyColors val="0"/>
        <c:ser>
          <c:idx val="3"/>
          <c:order val="3"/>
          <c:tx>
            <c:strRef>
              <c:f>'Force information'!$Z$2</c:f>
              <c:strCache>
                <c:ptCount val="1"/>
                <c:pt idx="0">
                  <c:v>Win rate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3"/>
            <c:spPr>
              <a:noFill/>
              <a:ln w="0">
                <a:solidFill>
                  <a:srgbClr val="92D050"/>
                </a:solidFill>
                <a:tailEnd w="sm" len="sm"/>
              </a:ln>
              <a:effectLst/>
            </c:spPr>
          </c:marker>
          <c:yVal>
            <c:numRef>
              <c:f>'Force information'!$Z$4:$Z$7</c:f>
              <c:numCache>
                <c:formatCode>0.0%</c:formatCode>
                <c:ptCount val="4"/>
                <c:pt idx="0">
                  <c:v>0.5</c:v>
                </c:pt>
                <c:pt idx="1">
                  <c:v>0.66666666666666663</c:v>
                </c:pt>
                <c:pt idx="2">
                  <c:v>0.44444444444444442</c:v>
                </c:pt>
                <c:pt idx="3">
                  <c:v>0.27272727272727271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2E-42DA-AF7F-3E304088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876384"/>
        <c:axId val="1118873504"/>
      </c:scatte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Match frequency</a:t>
            </a:r>
            <a:r>
              <a:rPr lang="en-GB" baseline="0"/>
              <a:t> of Force Type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'Force information'!$C$2</c:f>
              <c:strCache>
                <c:ptCount val="1"/>
                <c:pt idx="0">
                  <c:v>No. games</c:v>
                </c:pt>
              </c:strCache>
            </c:strRef>
          </c:tx>
          <c:dPt>
            <c:idx val="0"/>
            <c:bubble3D val="0"/>
            <c:spPr>
              <a:solidFill>
                <a:srgbClr val="CC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A5-4446-86B6-DE6785570895}"/>
              </c:ext>
            </c:extLst>
          </c:dPt>
          <c:dPt>
            <c:idx val="1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7A5-4446-86B6-DE6785570895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A5-4446-86B6-DE6785570895}"/>
              </c:ext>
            </c:extLst>
          </c:dPt>
          <c:dPt>
            <c:idx val="3"/>
            <c:bubble3D val="0"/>
            <c:spPr>
              <a:solidFill>
                <a:srgbClr val="33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A5-4446-86B6-DE6785570895}"/>
              </c:ext>
            </c:extLst>
          </c:dPt>
          <c:dPt>
            <c:idx val="4"/>
            <c:bubble3D val="0"/>
            <c:spPr>
              <a:solidFill>
                <a:srgbClr val="FFFF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A5-4446-86B6-DE67855708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'Force information'!$A$3:$A$7</c:f>
              <c:strCache>
                <c:ptCount val="5"/>
                <c:pt idx="0">
                  <c:v>Combined Tank/Mechanised Infantry</c:v>
                </c:pt>
                <c:pt idx="1">
                  <c:v>Mechanised Infantry</c:v>
                </c:pt>
                <c:pt idx="2">
                  <c:v>Combined Tank/Infantry</c:v>
                </c:pt>
                <c:pt idx="3">
                  <c:v>Tank</c:v>
                </c:pt>
                <c:pt idx="4">
                  <c:v>Infantry</c:v>
                </c:pt>
              </c:strCache>
            </c:strRef>
          </c:cat>
          <c:val>
            <c:numRef>
              <c:f>'Force information'!$C$3:$C$7</c:f>
              <c:numCache>
                <c:formatCode>General</c:formatCode>
                <c:ptCount val="5"/>
                <c:pt idx="0">
                  <c:v>3</c:v>
                </c:pt>
                <c:pt idx="1">
                  <c:v>11</c:v>
                </c:pt>
                <c:pt idx="2">
                  <c:v>23</c:v>
                </c:pt>
                <c:pt idx="3">
                  <c:v>42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5-4446-86B6-DE67855708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</a:t>
            </a:r>
            <a:r>
              <a:rPr lang="en-GB" baseline="0"/>
              <a:t> Saltire III - Avg. Unit kills/losses by Formation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6"/>
          <c:tx>
            <c:strRef>
              <c:f>'Formation information'!$I$1</c:f>
              <c:strCache>
                <c:ptCount val="1"/>
                <c:pt idx="0">
                  <c:v>Avg. Units killed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'Formation information'!$A$2:$A$31</c15:sqref>
                  </c15:fullRef>
                </c:ext>
              </c:extLst>
              <c:f>'Formation information'!$A$2:$A$26</c:f>
              <c:strCache>
                <c:ptCount val="25"/>
                <c:pt idx="0">
                  <c:v>Panzer IV SS Tank Company </c:v>
                </c:pt>
                <c:pt idx="1">
                  <c:v>Berlin Battle Group</c:v>
                </c:pt>
                <c:pt idx="2">
                  <c:v>IS-85 Guards Heavy Tank Regiment</c:v>
                </c:pt>
                <c:pt idx="3">
                  <c:v>Ram Armoured Squadron</c:v>
                </c:pt>
                <c:pt idx="4">
                  <c:v>StuG SS Tank Company</c:v>
                </c:pt>
                <c:pt idx="5">
                  <c:v>Volksgrenadier Company</c:v>
                </c:pt>
                <c:pt idx="6">
                  <c:v>Heavy Tank Training Company</c:v>
                </c:pt>
                <c:pt idx="7">
                  <c:v>Motorised Rifle Company</c:v>
                </c:pt>
                <c:pt idx="8">
                  <c:v>Beach Defence Grenadier Company</c:v>
                </c:pt>
                <c:pt idx="9">
                  <c:v>Hero Motor Rifle Battalion</c:v>
                </c:pt>
                <c:pt idx="10">
                  <c:v>Hero IS-2 (Late) Guards Heavy Tank Regiment</c:v>
                </c:pt>
                <c:pt idx="11">
                  <c:v>Medium SP Artillery Regiment</c:v>
                </c:pt>
                <c:pt idx="12">
                  <c:v>Panther Tank Company</c:v>
                </c:pt>
                <c:pt idx="13">
                  <c:v>Kangaroo Rifle Company</c:v>
                </c:pt>
                <c:pt idx="14">
                  <c:v>T-34 Tank Battalion</c:v>
                </c:pt>
                <c:pt idx="15">
                  <c:v>Red Banner Rifle Regiment</c:v>
                </c:pt>
                <c:pt idx="16">
                  <c:v>Brigade Armoured Assault Company</c:v>
                </c:pt>
                <c:pt idx="17">
                  <c:v>Desert Rats Cromwell Armoured Squadron</c:v>
                </c:pt>
                <c:pt idx="18">
                  <c:v>Panzer Battle Group</c:v>
                </c:pt>
                <c:pt idx="19">
                  <c:v>Turán Tank Company</c:v>
                </c:pt>
                <c:pt idx="20">
                  <c:v>Veteran M4 Sherman (Late) Tank Company</c:v>
                </c:pt>
                <c:pt idx="21">
                  <c:v>Armoured SS Panzergrenadier Company</c:v>
                </c:pt>
                <c:pt idx="22">
                  <c:v>Hero T-34 (85mm) Tank Battalion (Allied Formation)</c:v>
                </c:pt>
                <c:pt idx="23">
                  <c:v>Battle Weary Rifle Company</c:v>
                </c:pt>
                <c:pt idx="24">
                  <c:v>Parachute Rifle Company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'Formation information'!$I$2:$I$31</c15:sqref>
                  </c15:fullRef>
                </c:ext>
              </c:extLst>
              <c:f>'Formation information'!$I$2:$I$26</c:f>
              <c:numCache>
                <c:formatCode>0.0</c:formatCode>
                <c:ptCount val="25"/>
                <c:pt idx="0">
                  <c:v>1.6666666666666667</c:v>
                </c:pt>
                <c:pt idx="1">
                  <c:v>3.1578947368421053</c:v>
                </c:pt>
                <c:pt idx="2">
                  <c:v>2.25</c:v>
                </c:pt>
                <c:pt idx="3">
                  <c:v>0.8</c:v>
                </c:pt>
                <c:pt idx="4">
                  <c:v>2</c:v>
                </c:pt>
                <c:pt idx="5">
                  <c:v>2.125</c:v>
                </c:pt>
                <c:pt idx="6">
                  <c:v>1</c:v>
                </c:pt>
                <c:pt idx="7">
                  <c:v>2.6666666666666665</c:v>
                </c:pt>
                <c:pt idx="8">
                  <c:v>1.2857142857142858</c:v>
                </c:pt>
                <c:pt idx="9">
                  <c:v>1.7857142857142858</c:v>
                </c:pt>
                <c:pt idx="10">
                  <c:v>2.8</c:v>
                </c:pt>
                <c:pt idx="11">
                  <c:v>1.6</c:v>
                </c:pt>
                <c:pt idx="12">
                  <c:v>1.25</c:v>
                </c:pt>
                <c:pt idx="13">
                  <c:v>3</c:v>
                </c:pt>
                <c:pt idx="14">
                  <c:v>3.75</c:v>
                </c:pt>
                <c:pt idx="15">
                  <c:v>4.4000000000000004</c:v>
                </c:pt>
                <c:pt idx="16">
                  <c:v>3.6</c:v>
                </c:pt>
                <c:pt idx="17">
                  <c:v>1.4</c:v>
                </c:pt>
                <c:pt idx="18">
                  <c:v>3.4</c:v>
                </c:pt>
                <c:pt idx="19">
                  <c:v>1.75</c:v>
                </c:pt>
                <c:pt idx="20">
                  <c:v>2.625</c:v>
                </c:pt>
                <c:pt idx="21">
                  <c:v>1.6666666666666667</c:v>
                </c:pt>
                <c:pt idx="22">
                  <c:v>2.6666666666666665</c:v>
                </c:pt>
                <c:pt idx="23">
                  <c:v>3.2</c:v>
                </c:pt>
                <c:pt idx="24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04-4E82-A49C-20EBBC117BF1}"/>
            </c:ext>
          </c:extLst>
        </c:ser>
        <c:ser>
          <c:idx val="6"/>
          <c:order val="7"/>
          <c:tx>
            <c:strRef>
              <c:f>'Formation information'!$H$1</c:f>
              <c:strCache>
                <c:ptCount val="1"/>
                <c:pt idx="0">
                  <c:v>Avg. Units lost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'Formation information'!$A$2:$A$31</c15:sqref>
                  </c15:fullRef>
                </c:ext>
              </c:extLst>
              <c:f>'Formation information'!$A$2:$A$26</c:f>
              <c:strCache>
                <c:ptCount val="25"/>
                <c:pt idx="0">
                  <c:v>Panzer IV SS Tank Company </c:v>
                </c:pt>
                <c:pt idx="1">
                  <c:v>Berlin Battle Group</c:v>
                </c:pt>
                <c:pt idx="2">
                  <c:v>IS-85 Guards Heavy Tank Regiment</c:v>
                </c:pt>
                <c:pt idx="3">
                  <c:v>Ram Armoured Squadron</c:v>
                </c:pt>
                <c:pt idx="4">
                  <c:v>StuG SS Tank Company</c:v>
                </c:pt>
                <c:pt idx="5">
                  <c:v>Volksgrenadier Company</c:v>
                </c:pt>
                <c:pt idx="6">
                  <c:v>Heavy Tank Training Company</c:v>
                </c:pt>
                <c:pt idx="7">
                  <c:v>Motorised Rifle Company</c:v>
                </c:pt>
                <c:pt idx="8">
                  <c:v>Beach Defence Grenadier Company</c:v>
                </c:pt>
                <c:pt idx="9">
                  <c:v>Hero Motor Rifle Battalion</c:v>
                </c:pt>
                <c:pt idx="10">
                  <c:v>Hero IS-2 (Late) Guards Heavy Tank Regiment</c:v>
                </c:pt>
                <c:pt idx="11">
                  <c:v>Medium SP Artillery Regiment</c:v>
                </c:pt>
                <c:pt idx="12">
                  <c:v>Panther Tank Company</c:v>
                </c:pt>
                <c:pt idx="13">
                  <c:v>Kangaroo Rifle Company</c:v>
                </c:pt>
                <c:pt idx="14">
                  <c:v>T-34 Tank Battalion</c:v>
                </c:pt>
                <c:pt idx="15">
                  <c:v>Red Banner Rifle Regiment</c:v>
                </c:pt>
                <c:pt idx="16">
                  <c:v>Brigade Armoured Assault Company</c:v>
                </c:pt>
                <c:pt idx="17">
                  <c:v>Desert Rats Cromwell Armoured Squadron</c:v>
                </c:pt>
                <c:pt idx="18">
                  <c:v>Panzer Battle Group</c:v>
                </c:pt>
                <c:pt idx="19">
                  <c:v>Turán Tank Company</c:v>
                </c:pt>
                <c:pt idx="20">
                  <c:v>Veteran M4 Sherman (Late) Tank Company</c:v>
                </c:pt>
                <c:pt idx="21">
                  <c:v>Armoured SS Panzergrenadier Company</c:v>
                </c:pt>
                <c:pt idx="22">
                  <c:v>Hero T-34 (85mm) Tank Battalion (Allied Formation)</c:v>
                </c:pt>
                <c:pt idx="23">
                  <c:v>Battle Weary Rifle Company</c:v>
                </c:pt>
                <c:pt idx="24">
                  <c:v>Parachute Rifle Company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'Formation information'!$H$2:$H$31</c15:sqref>
                  </c15:fullRef>
                </c:ext>
              </c:extLst>
              <c:f>'Formation information'!$H$2:$H$26</c:f>
              <c:numCache>
                <c:formatCode>0.0</c:formatCode>
                <c:ptCount val="25"/>
                <c:pt idx="0">
                  <c:v>3</c:v>
                </c:pt>
                <c:pt idx="1">
                  <c:v>2.3684210526315788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2.5</c:v>
                </c:pt>
                <c:pt idx="6">
                  <c:v>2</c:v>
                </c:pt>
                <c:pt idx="7">
                  <c:v>2.6666666666666665</c:v>
                </c:pt>
                <c:pt idx="8">
                  <c:v>2.9285714285714284</c:v>
                </c:pt>
                <c:pt idx="9">
                  <c:v>1.5714285714285714</c:v>
                </c:pt>
                <c:pt idx="10">
                  <c:v>2.4</c:v>
                </c:pt>
                <c:pt idx="11">
                  <c:v>1.8</c:v>
                </c:pt>
                <c:pt idx="12">
                  <c:v>1.5</c:v>
                </c:pt>
                <c:pt idx="13">
                  <c:v>3.2</c:v>
                </c:pt>
                <c:pt idx="14">
                  <c:v>2.5</c:v>
                </c:pt>
                <c:pt idx="15">
                  <c:v>1.8</c:v>
                </c:pt>
                <c:pt idx="16">
                  <c:v>2.8</c:v>
                </c:pt>
                <c:pt idx="17">
                  <c:v>3</c:v>
                </c:pt>
                <c:pt idx="18">
                  <c:v>4</c:v>
                </c:pt>
                <c:pt idx="19">
                  <c:v>4.75</c:v>
                </c:pt>
                <c:pt idx="20">
                  <c:v>1.5</c:v>
                </c:pt>
                <c:pt idx="21">
                  <c:v>3</c:v>
                </c:pt>
                <c:pt idx="22">
                  <c:v>2.6666666666666665</c:v>
                </c:pt>
                <c:pt idx="23">
                  <c:v>1.6</c:v>
                </c:pt>
                <c:pt idx="2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04-4E82-A49C-20EBBC117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68000"/>
        <c:axId val="6465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'Formation information'!$B$1</c15:sqref>
                        </c15:formulaRef>
                      </c:ext>
                    </c:extLst>
                    <c:strCache>
                      <c:ptCount val="1"/>
                      <c:pt idx="0">
                        <c:v>Form. Freq.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'Formation information'!$B$2:$B$31</c15:sqref>
                        </c15:fullRef>
                        <c15:formulaRef>
                          <c15:sqref>'Formation information'!$B$2:$B$26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1</c:v>
                      </c:pt>
                      <c:pt idx="1">
                        <c:v>4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3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3</c:v>
                      </c:pt>
                      <c:pt idx="9">
                        <c:v>3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  <c:pt idx="14">
                        <c:v>1</c:v>
                      </c:pt>
                      <c:pt idx="15">
                        <c:v>1</c:v>
                      </c:pt>
                      <c:pt idx="16">
                        <c:v>1</c:v>
                      </c:pt>
                      <c:pt idx="17">
                        <c:v>1</c:v>
                      </c:pt>
                      <c:pt idx="18">
                        <c:v>1</c:v>
                      </c:pt>
                      <c:pt idx="19">
                        <c:v>1</c:v>
                      </c:pt>
                      <c:pt idx="20">
                        <c:v>2</c:v>
                      </c:pt>
                      <c:pt idx="21">
                        <c:v>1</c:v>
                      </c:pt>
                      <c:pt idx="22">
                        <c:v>1</c:v>
                      </c:pt>
                      <c:pt idx="23">
                        <c:v>1</c:v>
                      </c:pt>
                      <c:pt idx="24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604-4E82-A49C-20EBBC117BF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information'!$C$1</c15:sqref>
                        </c15:formulaRef>
                      </c:ext>
                    </c:extLst>
                    <c:strCache>
                      <c:ptCount val="1"/>
                      <c:pt idx="0">
                        <c:v>No. games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information'!$C$2:$C$31</c15:sqref>
                        </c15:fullRef>
                        <c15:formulaRef>
                          <c15:sqref>'Formation information'!$C$2:$C$26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</c:v>
                      </c:pt>
                      <c:pt idx="1">
                        <c:v>19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5</c:v>
                      </c:pt>
                      <c:pt idx="5">
                        <c:v>8</c:v>
                      </c:pt>
                      <c:pt idx="6">
                        <c:v>2</c:v>
                      </c:pt>
                      <c:pt idx="7">
                        <c:v>3</c:v>
                      </c:pt>
                      <c:pt idx="8">
                        <c:v>14</c:v>
                      </c:pt>
                      <c:pt idx="9">
                        <c:v>14</c:v>
                      </c:pt>
                      <c:pt idx="10">
                        <c:v>5</c:v>
                      </c:pt>
                      <c:pt idx="11">
                        <c:v>5</c:v>
                      </c:pt>
                      <c:pt idx="12">
                        <c:v>4</c:v>
                      </c:pt>
                      <c:pt idx="13">
                        <c:v>5</c:v>
                      </c:pt>
                      <c:pt idx="14">
                        <c:v>4</c:v>
                      </c:pt>
                      <c:pt idx="15">
                        <c:v>5</c:v>
                      </c:pt>
                      <c:pt idx="16">
                        <c:v>5</c:v>
                      </c:pt>
                      <c:pt idx="17">
                        <c:v>5</c:v>
                      </c:pt>
                      <c:pt idx="18">
                        <c:v>5</c:v>
                      </c:pt>
                      <c:pt idx="19">
                        <c:v>4</c:v>
                      </c:pt>
                      <c:pt idx="20">
                        <c:v>8</c:v>
                      </c:pt>
                      <c:pt idx="21">
                        <c:v>3</c:v>
                      </c:pt>
                      <c:pt idx="22">
                        <c:v>3</c:v>
                      </c:pt>
                      <c:pt idx="23">
                        <c:v>5</c:v>
                      </c:pt>
                      <c:pt idx="24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604-4E82-A49C-20EBBC117BF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information'!$D$1</c15:sqref>
                        </c15:formulaRef>
                      </c:ext>
                    </c:extLst>
                    <c:strCache>
                      <c:ptCount val="1"/>
                      <c:pt idx="0">
                        <c:v>Win %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information'!$D$2:$D$31</c15:sqref>
                        </c15:fullRef>
                        <c15:formulaRef>
                          <c15:sqref>'Formation information'!$D$2:$D$26</c15:sqref>
                        </c15:formulaRef>
                      </c:ext>
                    </c:extLst>
                    <c:numCache>
                      <c:formatCode>0.0%</c:formatCode>
                      <c:ptCount val="25"/>
                      <c:pt idx="0">
                        <c:v>0.33333333333333331</c:v>
                      </c:pt>
                      <c:pt idx="1">
                        <c:v>0.42105263157894735</c:v>
                      </c:pt>
                      <c:pt idx="2">
                        <c:v>0</c:v>
                      </c:pt>
                      <c:pt idx="3">
                        <c:v>0.4</c:v>
                      </c:pt>
                      <c:pt idx="4">
                        <c:v>0.4</c:v>
                      </c:pt>
                      <c:pt idx="5">
                        <c:v>0.25</c:v>
                      </c:pt>
                      <c:pt idx="6">
                        <c:v>0.5</c:v>
                      </c:pt>
                      <c:pt idx="7">
                        <c:v>0.33333333333333331</c:v>
                      </c:pt>
                      <c:pt idx="8">
                        <c:v>0.14285714285714285</c:v>
                      </c:pt>
                      <c:pt idx="9">
                        <c:v>0.21428571428571427</c:v>
                      </c:pt>
                      <c:pt idx="10">
                        <c:v>0.2</c:v>
                      </c:pt>
                      <c:pt idx="11">
                        <c:v>0.4</c:v>
                      </c:pt>
                      <c:pt idx="12">
                        <c:v>0.75</c:v>
                      </c:pt>
                      <c:pt idx="13">
                        <c:v>0.4</c:v>
                      </c:pt>
                      <c:pt idx="14">
                        <c:v>0.25</c:v>
                      </c:pt>
                      <c:pt idx="15">
                        <c:v>0.8</c:v>
                      </c:pt>
                      <c:pt idx="16">
                        <c:v>0.6</c:v>
                      </c:pt>
                      <c:pt idx="17">
                        <c:v>0.2</c:v>
                      </c:pt>
                      <c:pt idx="18">
                        <c:v>0.2</c:v>
                      </c:pt>
                      <c:pt idx="19">
                        <c:v>0.25</c:v>
                      </c:pt>
                      <c:pt idx="20">
                        <c:v>0.625</c:v>
                      </c:pt>
                      <c:pt idx="21">
                        <c:v>0.33333333333333331</c:v>
                      </c:pt>
                      <c:pt idx="22">
                        <c:v>0.33333333333333331</c:v>
                      </c:pt>
                      <c:pt idx="23">
                        <c:v>0.8</c:v>
                      </c:pt>
                      <c:pt idx="24">
                        <c:v>0.5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604-4E82-A49C-20EBBC117BF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information'!$E$1</c15:sqref>
                        </c15:formulaRef>
                      </c:ext>
                    </c:extLst>
                    <c:strCache>
                      <c:ptCount val="1"/>
                      <c:pt idx="0">
                        <c:v>Loss %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information'!$E$2:$E$31</c15:sqref>
                        </c15:fullRef>
                        <c15:formulaRef>
                          <c15:sqref>'Formation information'!$E$2:$E$26</c15:sqref>
                        </c15:formulaRef>
                      </c:ext>
                    </c:extLst>
                    <c:numCache>
                      <c:formatCode>0.0%</c:formatCode>
                      <c:ptCount val="25"/>
                      <c:pt idx="0">
                        <c:v>0.33333333333333331</c:v>
                      </c:pt>
                      <c:pt idx="1">
                        <c:v>0.31578947368421051</c:v>
                      </c:pt>
                      <c:pt idx="2">
                        <c:v>0.75</c:v>
                      </c:pt>
                      <c:pt idx="3">
                        <c:v>0.4</c:v>
                      </c:pt>
                      <c:pt idx="4">
                        <c:v>0.4</c:v>
                      </c:pt>
                      <c:pt idx="5">
                        <c:v>0.625</c:v>
                      </c:pt>
                      <c:pt idx="6">
                        <c:v>0.5</c:v>
                      </c:pt>
                      <c:pt idx="7">
                        <c:v>0.33333333333333331</c:v>
                      </c:pt>
                      <c:pt idx="8">
                        <c:v>0.5</c:v>
                      </c:pt>
                      <c:pt idx="9">
                        <c:v>0.35714285714285715</c:v>
                      </c:pt>
                      <c:pt idx="10">
                        <c:v>0.8</c:v>
                      </c:pt>
                      <c:pt idx="11">
                        <c:v>0.2</c:v>
                      </c:pt>
                      <c:pt idx="12">
                        <c:v>0.25</c:v>
                      </c:pt>
                      <c:pt idx="13">
                        <c:v>0.4</c:v>
                      </c:pt>
                      <c:pt idx="14">
                        <c:v>0.25</c:v>
                      </c:pt>
                      <c:pt idx="15">
                        <c:v>0</c:v>
                      </c:pt>
                      <c:pt idx="16">
                        <c:v>0.2</c:v>
                      </c:pt>
                      <c:pt idx="17">
                        <c:v>0.6</c:v>
                      </c:pt>
                      <c:pt idx="18">
                        <c:v>0.8</c:v>
                      </c:pt>
                      <c:pt idx="19">
                        <c:v>0.5</c:v>
                      </c:pt>
                      <c:pt idx="20">
                        <c:v>0.125</c:v>
                      </c:pt>
                      <c:pt idx="21">
                        <c:v>0.33333333333333331</c:v>
                      </c:pt>
                      <c:pt idx="22">
                        <c:v>0.33333333333333331</c:v>
                      </c:pt>
                      <c:pt idx="23">
                        <c:v>0</c:v>
                      </c:pt>
                      <c:pt idx="24">
                        <c:v>0.5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604-4E82-A49C-20EBBC117BF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information'!$F$1</c15:sqref>
                        </c15:formulaRef>
                      </c:ext>
                    </c:extLst>
                    <c:strCache>
                      <c:ptCount val="1"/>
                      <c:pt idx="0">
                        <c:v>Draw %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information'!$F$2:$F$31</c15:sqref>
                        </c15:fullRef>
                        <c15:formulaRef>
                          <c15:sqref>'Formation information'!$F$2:$F$26</c15:sqref>
                        </c15:formulaRef>
                      </c:ext>
                    </c:extLst>
                    <c:numCache>
                      <c:formatCode>0.0%</c:formatCode>
                      <c:ptCount val="25"/>
                      <c:pt idx="0">
                        <c:v>0.33333333333333331</c:v>
                      </c:pt>
                      <c:pt idx="1">
                        <c:v>0.26315789473684209</c:v>
                      </c:pt>
                      <c:pt idx="2">
                        <c:v>0.25</c:v>
                      </c:pt>
                      <c:pt idx="3">
                        <c:v>0.2</c:v>
                      </c:pt>
                      <c:pt idx="4">
                        <c:v>0.2</c:v>
                      </c:pt>
                      <c:pt idx="5">
                        <c:v>0.125</c:v>
                      </c:pt>
                      <c:pt idx="6">
                        <c:v>0</c:v>
                      </c:pt>
                      <c:pt idx="7">
                        <c:v>0.33333333333333331</c:v>
                      </c:pt>
                      <c:pt idx="8">
                        <c:v>0.35714285714285715</c:v>
                      </c:pt>
                      <c:pt idx="9">
                        <c:v>0.42857142857142855</c:v>
                      </c:pt>
                      <c:pt idx="10">
                        <c:v>0</c:v>
                      </c:pt>
                      <c:pt idx="11">
                        <c:v>0.4</c:v>
                      </c:pt>
                      <c:pt idx="12">
                        <c:v>0</c:v>
                      </c:pt>
                      <c:pt idx="13">
                        <c:v>0.2</c:v>
                      </c:pt>
                      <c:pt idx="14">
                        <c:v>0.5</c:v>
                      </c:pt>
                      <c:pt idx="15">
                        <c:v>0.2</c:v>
                      </c:pt>
                      <c:pt idx="16">
                        <c:v>0.2</c:v>
                      </c:pt>
                      <c:pt idx="17">
                        <c:v>0.2</c:v>
                      </c:pt>
                      <c:pt idx="18">
                        <c:v>0</c:v>
                      </c:pt>
                      <c:pt idx="19">
                        <c:v>0.25</c:v>
                      </c:pt>
                      <c:pt idx="20">
                        <c:v>0.25</c:v>
                      </c:pt>
                      <c:pt idx="21">
                        <c:v>0.33333333333333331</c:v>
                      </c:pt>
                      <c:pt idx="22">
                        <c:v>0.33333333333333331</c:v>
                      </c:pt>
                      <c:pt idx="23">
                        <c:v>0.2</c:v>
                      </c:pt>
                      <c:pt idx="2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604-4E82-A49C-20EBBC117BF1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information'!$G$1</c15:sqref>
                        </c15:formulaRef>
                      </c:ext>
                    </c:extLst>
                    <c:strCache>
                      <c:ptCount val="1"/>
                      <c:pt idx="0">
                        <c:v>Avg. score/match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information'!$G$2:$G$31</c15:sqref>
                        </c15:fullRef>
                        <c15:formulaRef>
                          <c15:sqref>'Formation information'!$G$2:$G$26</c15:sqref>
                        </c15:formulaRef>
                      </c:ext>
                    </c:extLst>
                    <c:numCache>
                      <c:formatCode>0.0</c:formatCode>
                      <c:ptCount val="25"/>
                      <c:pt idx="0">
                        <c:v>4</c:v>
                      </c:pt>
                      <c:pt idx="1">
                        <c:v>4.5789473684210522</c:v>
                      </c:pt>
                      <c:pt idx="2">
                        <c:v>2</c:v>
                      </c:pt>
                      <c:pt idx="3">
                        <c:v>3.8</c:v>
                      </c:pt>
                      <c:pt idx="4">
                        <c:v>4.2</c:v>
                      </c:pt>
                      <c:pt idx="5">
                        <c:v>3</c:v>
                      </c:pt>
                      <c:pt idx="6">
                        <c:v>4.5</c:v>
                      </c:pt>
                      <c:pt idx="7">
                        <c:v>4</c:v>
                      </c:pt>
                      <c:pt idx="8">
                        <c:v>2.1428571428571428</c:v>
                      </c:pt>
                      <c:pt idx="9">
                        <c:v>3</c:v>
                      </c:pt>
                      <c:pt idx="10">
                        <c:v>2.8</c:v>
                      </c:pt>
                      <c:pt idx="11">
                        <c:v>4</c:v>
                      </c:pt>
                      <c:pt idx="12">
                        <c:v>6</c:v>
                      </c:pt>
                      <c:pt idx="13">
                        <c:v>4</c:v>
                      </c:pt>
                      <c:pt idx="14">
                        <c:v>3.75</c:v>
                      </c:pt>
                      <c:pt idx="15">
                        <c:v>6.2</c:v>
                      </c:pt>
                      <c:pt idx="16">
                        <c:v>5.2</c:v>
                      </c:pt>
                      <c:pt idx="17">
                        <c:v>2.8</c:v>
                      </c:pt>
                      <c:pt idx="18">
                        <c:v>3.8</c:v>
                      </c:pt>
                      <c:pt idx="19">
                        <c:v>3</c:v>
                      </c:pt>
                      <c:pt idx="20">
                        <c:v>5</c:v>
                      </c:pt>
                      <c:pt idx="21">
                        <c:v>4</c:v>
                      </c:pt>
                      <c:pt idx="22">
                        <c:v>4</c:v>
                      </c:pt>
                      <c:pt idx="23">
                        <c:v>5.8</c:v>
                      </c:pt>
                      <c:pt idx="24">
                        <c:v>4.5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604-4E82-A49C-20EBBC117BF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'Formation information'!$J$1</c15:sqref>
                        </c15:formulaRef>
                      </c:ext>
                    </c:extLst>
                    <c:strCache>
                      <c:ptCount val="1"/>
                      <c:pt idx="0">
                        <c:v>Unit kill/loss ratio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'Formation information'!$A$2:$A$31</c15:sqref>
                        </c15:fullRef>
                        <c15:formulaRef>
                          <c15:sqref>'Formation information'!$A$2:$A$26</c15:sqref>
                        </c15:formulaRef>
                      </c:ext>
                    </c:extLst>
                    <c:strCache>
                      <c:ptCount val="25"/>
                      <c:pt idx="0">
                        <c:v>Panzer IV SS Tank Company </c:v>
                      </c:pt>
                      <c:pt idx="1">
                        <c:v>Berlin Battle Group</c:v>
                      </c:pt>
                      <c:pt idx="2">
                        <c:v>IS-85 Guards Heavy Tank Regiment</c:v>
                      </c:pt>
                      <c:pt idx="3">
                        <c:v>Ram Armoured Squadron</c:v>
                      </c:pt>
                      <c:pt idx="4">
                        <c:v>StuG SS Tank Company</c:v>
                      </c:pt>
                      <c:pt idx="5">
                        <c:v>Volksgrenadier Company</c:v>
                      </c:pt>
                      <c:pt idx="6">
                        <c:v>Heavy Tank Training Company</c:v>
                      </c:pt>
                      <c:pt idx="7">
                        <c:v>Motorised Rifle Company</c:v>
                      </c:pt>
                      <c:pt idx="8">
                        <c:v>Beach Defence Grenadier Company</c:v>
                      </c:pt>
                      <c:pt idx="9">
                        <c:v>Hero Motor Rifle Battalion</c:v>
                      </c:pt>
                      <c:pt idx="10">
                        <c:v>Hero IS-2 (Late) Guards Heavy Tank Regiment</c:v>
                      </c:pt>
                      <c:pt idx="11">
                        <c:v>Medium SP Artillery Regiment</c:v>
                      </c:pt>
                      <c:pt idx="12">
                        <c:v>Panther Tank Company</c:v>
                      </c:pt>
                      <c:pt idx="13">
                        <c:v>Kangaroo Rifle Company</c:v>
                      </c:pt>
                      <c:pt idx="14">
                        <c:v>T-34 Tank Battalion</c:v>
                      </c:pt>
                      <c:pt idx="15">
                        <c:v>Red Banner Rifle Regiment</c:v>
                      </c:pt>
                      <c:pt idx="16">
                        <c:v>Brigade Armoured Assault Company</c:v>
                      </c:pt>
                      <c:pt idx="17">
                        <c:v>Desert Rats Cromwell Armoured Squadron</c:v>
                      </c:pt>
                      <c:pt idx="18">
                        <c:v>Panzer Battle Group</c:v>
                      </c:pt>
                      <c:pt idx="19">
                        <c:v>Turán Tank Company</c:v>
                      </c:pt>
                      <c:pt idx="20">
                        <c:v>Veteran M4 Sherman (Late) Tank Company</c:v>
                      </c:pt>
                      <c:pt idx="21">
                        <c:v>Armoured SS Panzergrenadier Company</c:v>
                      </c:pt>
                      <c:pt idx="22">
                        <c:v>Hero T-34 (85mm) Tank Battalion (Allied Formation)</c:v>
                      </c:pt>
                      <c:pt idx="23">
                        <c:v>Battle Weary Rifle Company</c:v>
                      </c:pt>
                      <c:pt idx="24">
                        <c:v>Parachute Rifle Company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'Formation information'!$J$2:$J$31</c15:sqref>
                        </c15:fullRef>
                        <c15:formulaRef>
                          <c15:sqref>'Formation information'!$J$2:$J$26</c15:sqref>
                        </c15:formulaRef>
                      </c:ext>
                    </c:extLst>
                    <c:numCache>
                      <c:formatCode>0.00</c:formatCode>
                      <c:ptCount val="25"/>
                      <c:pt idx="0">
                        <c:v>0.55555555555555558</c:v>
                      </c:pt>
                      <c:pt idx="1">
                        <c:v>1.3333333333333335</c:v>
                      </c:pt>
                      <c:pt idx="2">
                        <c:v>1.125</c:v>
                      </c:pt>
                      <c:pt idx="3">
                        <c:v>0.4</c:v>
                      </c:pt>
                      <c:pt idx="4">
                        <c:v>2</c:v>
                      </c:pt>
                      <c:pt idx="5">
                        <c:v>0.85</c:v>
                      </c:pt>
                      <c:pt idx="6">
                        <c:v>0.5</c:v>
                      </c:pt>
                      <c:pt idx="7">
                        <c:v>1</c:v>
                      </c:pt>
                      <c:pt idx="8">
                        <c:v>0.4390243902439025</c:v>
                      </c:pt>
                      <c:pt idx="9">
                        <c:v>1.1363636363636365</c:v>
                      </c:pt>
                      <c:pt idx="10">
                        <c:v>1.1666666666666667</c:v>
                      </c:pt>
                      <c:pt idx="11">
                        <c:v>0.88888888888888895</c:v>
                      </c:pt>
                      <c:pt idx="12">
                        <c:v>0.83333333333333337</c:v>
                      </c:pt>
                      <c:pt idx="13">
                        <c:v>0.9375</c:v>
                      </c:pt>
                      <c:pt idx="14">
                        <c:v>1.5</c:v>
                      </c:pt>
                      <c:pt idx="15">
                        <c:v>2.4444444444444446</c:v>
                      </c:pt>
                      <c:pt idx="16">
                        <c:v>1.2857142857142858</c:v>
                      </c:pt>
                      <c:pt idx="17">
                        <c:v>0.46666666666666662</c:v>
                      </c:pt>
                      <c:pt idx="18">
                        <c:v>0.85</c:v>
                      </c:pt>
                      <c:pt idx="19">
                        <c:v>0.36842105263157893</c:v>
                      </c:pt>
                      <c:pt idx="20">
                        <c:v>1.75</c:v>
                      </c:pt>
                      <c:pt idx="21">
                        <c:v>0.55555555555555558</c:v>
                      </c:pt>
                      <c:pt idx="22">
                        <c:v>1</c:v>
                      </c:pt>
                      <c:pt idx="23">
                        <c:v>2</c:v>
                      </c:pt>
                      <c:pt idx="24">
                        <c:v>1.25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604-4E82-A49C-20EBBC117BF1}"/>
                  </c:ext>
                </c:extLst>
              </c15:ser>
            </c15:filteredBarSeries>
          </c:ext>
        </c:extLst>
      </c:barChart>
      <c:catAx>
        <c:axId val="646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5120"/>
        <c:crosses val="autoZero"/>
        <c:auto val="1"/>
        <c:lblAlgn val="ctr"/>
        <c:lblOffset val="100"/>
        <c:noMultiLvlLbl val="0"/>
      </c:catAx>
      <c:valAx>
        <c:axId val="646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Win/Lose/Draw rates by</a:t>
            </a:r>
            <a:r>
              <a:rPr lang="en-GB" baseline="0"/>
              <a:t> Faction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'Faction information'!$D$1</c:f>
              <c:strCache>
                <c:ptCount val="1"/>
                <c:pt idx="0">
                  <c:v>Win 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'Faction information'!$A$2:$A$14</c:f>
              <c:strCache>
                <c:ptCount val="13"/>
                <c:pt idx="0">
                  <c:v>German: Waffen-SS</c:v>
                </c:pt>
                <c:pt idx="1">
                  <c:v>German: Fortress Europe</c:v>
                </c:pt>
                <c:pt idx="2">
                  <c:v>Soviet: Bagration</c:v>
                </c:pt>
                <c:pt idx="3">
                  <c:v>British: Bulge</c:v>
                </c:pt>
                <c:pt idx="4">
                  <c:v>German: Bulge</c:v>
                </c:pt>
                <c:pt idx="5">
                  <c:v>German: Berlin</c:v>
                </c:pt>
                <c:pt idx="6">
                  <c:v>Romanian: Bagration (Allies)</c:v>
                </c:pt>
                <c:pt idx="7">
                  <c:v>German: D-Day</c:v>
                </c:pt>
                <c:pt idx="8">
                  <c:v>Soviet: Berlin</c:v>
                </c:pt>
                <c:pt idx="9">
                  <c:v>German: Bagration</c:v>
                </c:pt>
                <c:pt idx="10">
                  <c:v>British: D-Day</c:v>
                </c:pt>
                <c:pt idx="11">
                  <c:v>American: Bulge</c:v>
                </c:pt>
                <c:pt idx="12">
                  <c:v>Hungarian: Bagration (Axis)</c:v>
                </c:pt>
              </c:strCache>
            </c:strRef>
          </c:cat>
          <c:val>
            <c:numRef>
              <c:f>'Faction information'!$D$2:$D$14</c:f>
              <c:numCache>
                <c:formatCode>0.0%</c:formatCode>
                <c:ptCount val="13"/>
                <c:pt idx="0">
                  <c:v>0.375</c:v>
                </c:pt>
                <c:pt idx="1">
                  <c:v>0.4</c:v>
                </c:pt>
                <c:pt idx="2">
                  <c:v>0.22222222222222221</c:v>
                </c:pt>
                <c:pt idx="3">
                  <c:v>0.45454545454545453</c:v>
                </c:pt>
                <c:pt idx="4">
                  <c:v>0.42857142857142855</c:v>
                </c:pt>
                <c:pt idx="5">
                  <c:v>0.40909090909090912</c:v>
                </c:pt>
                <c:pt idx="6">
                  <c:v>0.33333333333333331</c:v>
                </c:pt>
                <c:pt idx="7">
                  <c:v>0.1</c:v>
                </c:pt>
                <c:pt idx="8">
                  <c:v>0.5</c:v>
                </c:pt>
                <c:pt idx="9">
                  <c:v>0.75</c:v>
                </c:pt>
                <c:pt idx="10">
                  <c:v>0.33333333333333331</c:v>
                </c:pt>
                <c:pt idx="11">
                  <c:v>0.5714285714285714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5-4BA3-A3E7-6EF3551B4911}"/>
            </c:ext>
          </c:extLst>
        </c:ser>
        <c:ser>
          <c:idx val="1"/>
          <c:order val="1"/>
          <c:tx>
            <c:strRef>
              <c:f>'Faction information'!$E$1</c:f>
              <c:strCache>
                <c:ptCount val="1"/>
                <c:pt idx="0">
                  <c:v>Loss %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cat>
            <c:strRef>
              <c:f>'Faction information'!$A$2:$A$14</c:f>
              <c:strCache>
                <c:ptCount val="13"/>
                <c:pt idx="0">
                  <c:v>German: Waffen-SS</c:v>
                </c:pt>
                <c:pt idx="1">
                  <c:v>German: Fortress Europe</c:v>
                </c:pt>
                <c:pt idx="2">
                  <c:v>Soviet: Bagration</c:v>
                </c:pt>
                <c:pt idx="3">
                  <c:v>British: Bulge</c:v>
                </c:pt>
                <c:pt idx="4">
                  <c:v>German: Bulge</c:v>
                </c:pt>
                <c:pt idx="5">
                  <c:v>German: Berlin</c:v>
                </c:pt>
                <c:pt idx="6">
                  <c:v>Romanian: Bagration (Allies)</c:v>
                </c:pt>
                <c:pt idx="7">
                  <c:v>German: D-Day</c:v>
                </c:pt>
                <c:pt idx="8">
                  <c:v>Soviet: Berlin</c:v>
                </c:pt>
                <c:pt idx="9">
                  <c:v>German: Bagration</c:v>
                </c:pt>
                <c:pt idx="10">
                  <c:v>British: D-Day</c:v>
                </c:pt>
                <c:pt idx="11">
                  <c:v>American: Bulge</c:v>
                </c:pt>
                <c:pt idx="12">
                  <c:v>Hungarian: Bagration (Axis)</c:v>
                </c:pt>
              </c:strCache>
            </c:strRef>
          </c:cat>
          <c:val>
            <c:numRef>
              <c:f>'Faction information'!$E$2:$E$14</c:f>
              <c:numCache>
                <c:formatCode>0.0%</c:formatCode>
                <c:ptCount val="13"/>
                <c:pt idx="0">
                  <c:v>0.375</c:v>
                </c:pt>
                <c:pt idx="1">
                  <c:v>0</c:v>
                </c:pt>
                <c:pt idx="2">
                  <c:v>0.33333333333333331</c:v>
                </c:pt>
                <c:pt idx="3">
                  <c:v>0.36363636363636365</c:v>
                </c:pt>
                <c:pt idx="4">
                  <c:v>0.35714285714285715</c:v>
                </c:pt>
                <c:pt idx="5">
                  <c:v>0.45454545454545453</c:v>
                </c:pt>
                <c:pt idx="6">
                  <c:v>0.33333333333333331</c:v>
                </c:pt>
                <c:pt idx="7">
                  <c:v>0.5</c:v>
                </c:pt>
                <c:pt idx="8">
                  <c:v>0.4</c:v>
                </c:pt>
                <c:pt idx="9">
                  <c:v>0.25</c:v>
                </c:pt>
                <c:pt idx="10">
                  <c:v>0.5</c:v>
                </c:pt>
                <c:pt idx="11">
                  <c:v>0.2857142857142857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5-4BA3-A3E7-6EF3551B4911}"/>
            </c:ext>
          </c:extLst>
        </c:ser>
        <c:ser>
          <c:idx val="2"/>
          <c:order val="2"/>
          <c:tx>
            <c:strRef>
              <c:f>'Faction information'!$F$1</c:f>
              <c:strCache>
                <c:ptCount val="1"/>
                <c:pt idx="0">
                  <c:v>Draw 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'Faction information'!$A$2:$A$14</c:f>
              <c:strCache>
                <c:ptCount val="13"/>
                <c:pt idx="0">
                  <c:v>German: Waffen-SS</c:v>
                </c:pt>
                <c:pt idx="1">
                  <c:v>German: Fortress Europe</c:v>
                </c:pt>
                <c:pt idx="2">
                  <c:v>Soviet: Bagration</c:v>
                </c:pt>
                <c:pt idx="3">
                  <c:v>British: Bulge</c:v>
                </c:pt>
                <c:pt idx="4">
                  <c:v>German: Bulge</c:v>
                </c:pt>
                <c:pt idx="5">
                  <c:v>German: Berlin</c:v>
                </c:pt>
                <c:pt idx="6">
                  <c:v>Romanian: Bagration (Allies)</c:v>
                </c:pt>
                <c:pt idx="7">
                  <c:v>German: D-Day</c:v>
                </c:pt>
                <c:pt idx="8">
                  <c:v>Soviet: Berlin</c:v>
                </c:pt>
                <c:pt idx="9">
                  <c:v>German: Bagration</c:v>
                </c:pt>
                <c:pt idx="10">
                  <c:v>British: D-Day</c:v>
                </c:pt>
                <c:pt idx="11">
                  <c:v>American: Bulge</c:v>
                </c:pt>
                <c:pt idx="12">
                  <c:v>Hungarian: Bagration (Axis)</c:v>
                </c:pt>
              </c:strCache>
            </c:strRef>
          </c:cat>
          <c:val>
            <c:numRef>
              <c:f>'Faction information'!$F$2:$F$14</c:f>
              <c:numCache>
                <c:formatCode>0.0%</c:formatCode>
                <c:ptCount val="13"/>
                <c:pt idx="0">
                  <c:v>0.25</c:v>
                </c:pt>
                <c:pt idx="1">
                  <c:v>0.6</c:v>
                </c:pt>
                <c:pt idx="2">
                  <c:v>0.44444444444444442</c:v>
                </c:pt>
                <c:pt idx="3">
                  <c:v>0.18181818181818182</c:v>
                </c:pt>
                <c:pt idx="4">
                  <c:v>0.21428571428571427</c:v>
                </c:pt>
                <c:pt idx="5">
                  <c:v>0.13636363636363635</c:v>
                </c:pt>
                <c:pt idx="6">
                  <c:v>0.33333333333333331</c:v>
                </c:pt>
                <c:pt idx="7">
                  <c:v>0.4</c:v>
                </c:pt>
                <c:pt idx="8">
                  <c:v>0.1</c:v>
                </c:pt>
                <c:pt idx="9">
                  <c:v>0</c:v>
                </c:pt>
                <c:pt idx="10">
                  <c:v>0.16666666666666666</c:v>
                </c:pt>
                <c:pt idx="11">
                  <c:v>0.14285714285714285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55-4BA3-A3E7-6EF3551B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57520"/>
        <c:axId val="9558480"/>
      </c:barChart>
      <c:catAx>
        <c:axId val="955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8480"/>
        <c:crosses val="autoZero"/>
        <c:auto val="1"/>
        <c:lblAlgn val="ctr"/>
        <c:lblOffset val="100"/>
        <c:noMultiLvlLbl val="0"/>
      </c:catAx>
      <c:valAx>
        <c:axId val="95584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</a:t>
            </a:r>
            <a:r>
              <a:rPr lang="en-GB" baseline="0"/>
              <a:t>: Saltire III - Win/Lose/Draw rate by Stance pick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'Stance information'!$C$1</c:f>
              <c:strCache>
                <c:ptCount val="1"/>
                <c:pt idx="0">
                  <c:v>Win 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'Stance information'!$A$2:$A$4</c:f>
              <c:strCache>
                <c:ptCount val="3"/>
                <c:pt idx="0">
                  <c:v>Attack</c:v>
                </c:pt>
                <c:pt idx="1">
                  <c:v>Maneuver</c:v>
                </c:pt>
                <c:pt idx="2">
                  <c:v>Defend</c:v>
                </c:pt>
              </c:strCache>
            </c:strRef>
          </c:cat>
          <c:val>
            <c:numRef>
              <c:f>'Stance information'!$C$2:$C$4</c:f>
              <c:numCache>
                <c:formatCode>0.0%</c:formatCode>
                <c:ptCount val="3"/>
                <c:pt idx="0">
                  <c:v>0.35135135135135137</c:v>
                </c:pt>
                <c:pt idx="1">
                  <c:v>0.44444444444444442</c:v>
                </c:pt>
                <c:pt idx="2">
                  <c:v>0.35294117647058826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1C-46A1-8AEA-4B374DD0C1B1}"/>
            </c:ext>
          </c:extLst>
        </c:ser>
        <c:ser>
          <c:idx val="2"/>
          <c:order val="2"/>
          <c:tx>
            <c:strRef>
              <c:f>'Stance information'!$D$1</c:f>
              <c:strCache>
                <c:ptCount val="1"/>
                <c:pt idx="0">
                  <c:v>Loss %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cat>
            <c:strRef>
              <c:f>'Stance information'!$A$2:$A$4</c:f>
              <c:strCache>
                <c:ptCount val="3"/>
                <c:pt idx="0">
                  <c:v>Attack</c:v>
                </c:pt>
                <c:pt idx="1">
                  <c:v>Maneuver</c:v>
                </c:pt>
                <c:pt idx="2">
                  <c:v>Defend</c:v>
                </c:pt>
              </c:strCache>
            </c:strRef>
          </c:cat>
          <c:val>
            <c:numRef>
              <c:f>'Stance information'!$D$2:$D$4</c:f>
              <c:numCache>
                <c:formatCode>0.0%</c:formatCode>
                <c:ptCount val="3"/>
                <c:pt idx="0">
                  <c:v>0.54054054054054057</c:v>
                </c:pt>
                <c:pt idx="1">
                  <c:v>0.33333333333333331</c:v>
                </c:pt>
                <c:pt idx="2">
                  <c:v>0.29411764705882354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1C-46A1-8AEA-4B374DD0C1B1}"/>
            </c:ext>
          </c:extLst>
        </c:ser>
        <c:ser>
          <c:idx val="3"/>
          <c:order val="3"/>
          <c:tx>
            <c:strRef>
              <c:f>'Stance information'!$E$1</c:f>
              <c:strCache>
                <c:ptCount val="1"/>
                <c:pt idx="0">
                  <c:v>Draw 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'Stance information'!$A$2:$A$4</c:f>
              <c:strCache>
                <c:ptCount val="3"/>
                <c:pt idx="0">
                  <c:v>Attack</c:v>
                </c:pt>
                <c:pt idx="1">
                  <c:v>Maneuver</c:v>
                </c:pt>
                <c:pt idx="2">
                  <c:v>Defend</c:v>
                </c:pt>
              </c:strCache>
            </c:strRef>
          </c:cat>
          <c:val>
            <c:numRef>
              <c:f>'Stance information'!$E$2:$E$4</c:f>
              <c:numCache>
                <c:formatCode>0.0%</c:formatCode>
                <c:ptCount val="3"/>
                <c:pt idx="0">
                  <c:v>0.10810810810810811</c:v>
                </c:pt>
                <c:pt idx="1">
                  <c:v>0.22222222222222221</c:v>
                </c:pt>
                <c:pt idx="2">
                  <c:v>0.35294117647058826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C-46A1-8AEA-4B374DD0C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990400"/>
        <c:axId val="895027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'Stance information'!$B$1</c15:sqref>
                        </c15:formulaRef>
                      </c:ext>
                    </c:extLst>
                    <c:strCache>
                      <c:ptCount val="1"/>
                      <c:pt idx="0">
                        <c:v>No. picks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'Stance information'!$A$2:$A$4</c15:sqref>
                        </c15:formulaRef>
                      </c:ext>
                    </c:extLst>
                    <c:strCache>
                      <c:ptCount val="3"/>
                      <c:pt idx="0">
                        <c:v>Attack</c:v>
                      </c:pt>
                      <c:pt idx="1">
                        <c:v>Maneuver</c:v>
                      </c:pt>
                      <c:pt idx="2">
                        <c:v>Defend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'Stance information'!$B$2:$B$4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37</c:v>
                      </c:pt>
                      <c:pt idx="1">
                        <c:v>36</c:v>
                      </c:pt>
                      <c:pt idx="2">
                        <c:v>51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C1C-46A1-8AEA-4B374DD0C1B1}"/>
                  </c:ext>
                </c:extLst>
              </c15:ser>
            </c15:filteredBarSeries>
          </c:ext>
        </c:extLst>
      </c:barChart>
      <c:catAx>
        <c:axId val="8799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502768"/>
        <c:crosses val="autoZero"/>
        <c:auto val="1"/>
        <c:lblAlgn val="ctr"/>
        <c:lblOffset val="100"/>
        <c:noMultiLvlLbl val="0"/>
      </c:catAx>
      <c:valAx>
        <c:axId val="895027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99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 Saltire III: Mission frequency and length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'Mission information'!$C$2</c:f>
              <c:strCache>
                <c:ptCount val="1"/>
                <c:pt idx="0">
                  <c:v>No. games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</c:strRef>
          </c:cat>
          <c:val>
            <c:numRef>
              <c:f>'Mission information'!$C$3:$C$20</c:f>
              <c:numCache>
                <c:formatCode>General</c:formatCode>
                <c:ptCount val="18"/>
                <c:pt idx="0">
                  <c:v>8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10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E-498B-9E45-B724D31F6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191647"/>
        <c:axId val="15118540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'Mission information'!$D$2</c15:sqref>
                        </c15:formulaRef>
                      </c:ext>
                    </c:extLst>
                    <c:strCache>
                      <c:ptCount val="1"/>
                      <c:pt idx="0">
                        <c:v>Draw rate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'Mission information'!$B$3:$B$20</c15:sqref>
                        </c15:formulaRef>
                      </c:ext>
                    </c:extLst>
                    <c:strCache>
                      <c:ptCount val="18"/>
                      <c:pt idx="0">
                        <c:v>Bypass</c:v>
                      </c:pt>
                      <c:pt idx="1">
                        <c:v>Cornered</c:v>
                      </c:pt>
                      <c:pt idx="2">
                        <c:v>Counterattack</c:v>
                      </c:pt>
                      <c:pt idx="3">
                        <c:v>Countstrike</c:v>
                      </c:pt>
                      <c:pt idx="4">
                        <c:v>Covering Force</c:v>
                      </c:pt>
                      <c:pt idx="5">
                        <c:v>Dogfight</c:v>
                      </c:pt>
                      <c:pt idx="6">
                        <c:v>Dust Up</c:v>
                      </c:pt>
                      <c:pt idx="7">
                        <c:v>Encirclement</c:v>
                      </c:pt>
                      <c:pt idx="8">
                        <c:v>Encounter</c:v>
                      </c:pt>
                      <c:pt idx="9">
                        <c:v>Escape</c:v>
                      </c:pt>
                      <c:pt idx="10">
                        <c:v>Free for All</c:v>
                      </c:pt>
                      <c:pt idx="11">
                        <c:v>Hold the Pocket</c:v>
                      </c:pt>
                      <c:pt idx="12">
                        <c:v>It's a Trap</c:v>
                      </c:pt>
                      <c:pt idx="13">
                        <c:v>No Retreat</c:v>
                      </c:pt>
                      <c:pt idx="14">
                        <c:v>Outmaneuvered</c:v>
                      </c:pt>
                      <c:pt idx="15">
                        <c:v>Probe</c:v>
                      </c:pt>
                      <c:pt idx="16">
                        <c:v>Scouts Out</c:v>
                      </c:pt>
                      <c:pt idx="17">
                        <c:v>Valley of Death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'Mission information'!$D$3:$D$20</c15:sqref>
                        </c15:formulaRef>
                      </c:ext>
                    </c:extLst>
                    <c:numCache>
                      <c:formatCode>0.0%</c:formatCode>
                      <c:ptCount val="18"/>
                      <c:pt idx="0">
                        <c:v>0.375</c:v>
                      </c:pt>
                      <c:pt idx="1">
                        <c:v>0.66666666666666663</c:v>
                      </c:pt>
                      <c:pt idx="2">
                        <c:v>0</c:v>
                      </c:pt>
                      <c:pt idx="3">
                        <c:v>0.33333333333333331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0.33333333333333331</c:v>
                      </c:pt>
                      <c:pt idx="7">
                        <c:v>0</c:v>
                      </c:pt>
                      <c:pt idx="8">
                        <c:v>0.33333333333333331</c:v>
                      </c:pt>
                      <c:pt idx="9">
                        <c:v>0</c:v>
                      </c:pt>
                      <c:pt idx="10">
                        <c:v>0.6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0.66666666666666663</c:v>
                      </c:pt>
                      <c:pt idx="15">
                        <c:v>0.4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3FE-498B-9E45-B724D31F620F}"/>
                  </c:ext>
                </c:extLst>
              </c15:ser>
            </c15:filteredBarSeries>
          </c:ext>
        </c:extLst>
      </c:barChart>
      <c:scatterChart>
        <c:scatterStyle val="lineMarker"/>
        <c:varyColors val="0"/>
        <c:ser>
          <c:idx val="2"/>
          <c:order val="2"/>
          <c:tx>
            <c:strRef>
              <c:f>'Mission information'!$E$2</c:f>
              <c:strCache>
                <c:ptCount val="1"/>
                <c:pt idx="0">
                  <c:v>Avg. turn game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xVal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</c:strRef>
          </c:xVal>
          <c:yVal>
            <c:numRef>
              <c:f>'Mission information'!$E$3:$E$20</c:f>
              <c:numCache>
                <c:formatCode>0.0</c:formatCode>
                <c:ptCount val="18"/>
                <c:pt idx="0">
                  <c:v>5.75</c:v>
                </c:pt>
                <c:pt idx="1">
                  <c:v>5</c:v>
                </c:pt>
                <c:pt idx="2">
                  <c:v>4</c:v>
                </c:pt>
                <c:pt idx="3">
                  <c:v>6.333333333333333</c:v>
                </c:pt>
                <c:pt idx="4">
                  <c:v>6.75</c:v>
                </c:pt>
                <c:pt idx="5">
                  <c:v>7</c:v>
                </c:pt>
                <c:pt idx="6">
                  <c:v>8</c:v>
                </c:pt>
                <c:pt idx="7">
                  <c:v>6</c:v>
                </c:pt>
                <c:pt idx="8">
                  <c:v>6</c:v>
                </c:pt>
                <c:pt idx="9">
                  <c:v>4.666666666666667</c:v>
                </c:pt>
                <c:pt idx="10">
                  <c:v>7.8</c:v>
                </c:pt>
                <c:pt idx="11">
                  <c:v>4</c:v>
                </c:pt>
                <c:pt idx="12">
                  <c:v>4</c:v>
                </c:pt>
                <c:pt idx="13">
                  <c:v>5.7</c:v>
                </c:pt>
                <c:pt idx="14">
                  <c:v>4.666666666666667</c:v>
                </c:pt>
                <c:pt idx="15">
                  <c:v>6.4</c:v>
                </c:pt>
                <c:pt idx="16">
                  <c:v>6</c:v>
                </c:pt>
                <c:pt idx="17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FE-498B-9E45-B724D31F6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191647"/>
        <c:axId val="151185407"/>
      </c:scatterChart>
      <c:catAx>
        <c:axId val="15119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85407"/>
        <c:crosses val="autoZero"/>
        <c:auto val="1"/>
        <c:lblAlgn val="ctr"/>
        <c:lblOffset val="100"/>
        <c:noMultiLvlLbl val="0"/>
      </c:catAx>
      <c:valAx>
        <c:axId val="151185407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9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 Saltire III: Role win rate and score by Mission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'Mission information'!$F$2</c:f>
              <c:strCache>
                <c:ptCount val="1"/>
                <c:pt idx="0">
                  <c:v>Attacker Win rate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</c:strRef>
          </c:cat>
          <c:val>
            <c:numRef>
              <c:f>'Mission information'!$F$3:$F$20</c:f>
              <c:numCache>
                <c:formatCode>0.0%</c:formatCode>
                <c:ptCount val="18"/>
                <c:pt idx="0">
                  <c:v>0.625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0.25</c:v>
                </c:pt>
                <c:pt idx="5">
                  <c:v>0.5</c:v>
                </c:pt>
                <c:pt idx="6">
                  <c:v>0.33333333333333331</c:v>
                </c:pt>
                <c:pt idx="7">
                  <c:v>0</c:v>
                </c:pt>
                <c:pt idx="8">
                  <c:v>0</c:v>
                </c:pt>
                <c:pt idx="9">
                  <c:v>0.33333333333333331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0.2</c:v>
                </c:pt>
                <c:pt idx="14">
                  <c:v>0.33333333333333331</c:v>
                </c:pt>
                <c:pt idx="15">
                  <c:v>0.6</c:v>
                </c:pt>
                <c:pt idx="16">
                  <c:v>0.5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B-4CB0-987A-32B99ABDDCC4}"/>
            </c:ext>
          </c:extLst>
        </c:ser>
        <c:ser>
          <c:idx val="2"/>
          <c:order val="2"/>
          <c:tx>
            <c:strRef>
              <c:f>'Mission information'!$R$2</c:f>
              <c:strCache>
                <c:ptCount val="1"/>
                <c:pt idx="0">
                  <c:v>Defender Win rate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val>
            <c:numRef>
              <c:f>'Mission information'!$R$3:$R$20</c:f>
              <c:numCache>
                <c:formatCode>0.0%</c:formatCode>
                <c:ptCount val="18"/>
                <c:pt idx="0">
                  <c:v>0</c:v>
                </c:pt>
                <c:pt idx="1">
                  <c:v>0.33333333333333331</c:v>
                </c:pt>
                <c:pt idx="2">
                  <c:v>1</c:v>
                </c:pt>
                <c:pt idx="3">
                  <c:v>0.33333333333333331</c:v>
                </c:pt>
                <c:pt idx="4">
                  <c:v>0.75</c:v>
                </c:pt>
                <c:pt idx="5">
                  <c:v>0.5</c:v>
                </c:pt>
                <c:pt idx="6">
                  <c:v>0.33333333333333331</c:v>
                </c:pt>
                <c:pt idx="7">
                  <c:v>1</c:v>
                </c:pt>
                <c:pt idx="8">
                  <c:v>0.66666666666666663</c:v>
                </c:pt>
                <c:pt idx="9">
                  <c:v>0.66666666666666663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0.8</c:v>
                </c:pt>
                <c:pt idx="14">
                  <c:v>0</c:v>
                </c:pt>
                <c:pt idx="15">
                  <c:v>0</c:v>
                </c:pt>
                <c:pt idx="16">
                  <c:v>0.5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B-4E06-AAA8-9D976CDA8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191647"/>
        <c:axId val="151185407"/>
      </c:barChart>
      <c:scatterChart>
        <c:scatterStyle val="lineMarker"/>
        <c:varyColors val="0"/>
        <c:ser>
          <c:idx val="1"/>
          <c:order val="1"/>
          <c:tx>
            <c:strRef>
              <c:f>'Mission information'!$G$2</c:f>
              <c:strCache>
                <c:ptCount val="1"/>
                <c:pt idx="0">
                  <c:v>Attacker avg. score/match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  <a:effectLst/>
            </c:spPr>
          </c:marker>
          <c:xVal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  <c:extLst xmlns:c15="http://schemas.microsoft.com/office/drawing/2012/chart"/>
            </c:strRef>
          </c:xVal>
          <c:yVal>
            <c:numRef>
              <c:f>'Mission information'!$G$3:$G$20</c:f>
              <c:numCache>
                <c:formatCode>0.0</c:formatCode>
                <c:ptCount val="18"/>
                <c:pt idx="0">
                  <c:v>5.125</c:v>
                </c:pt>
                <c:pt idx="1">
                  <c:v>2</c:v>
                </c:pt>
                <c:pt idx="2">
                  <c:v>2</c:v>
                </c:pt>
                <c:pt idx="3">
                  <c:v>3.3333333333333335</c:v>
                </c:pt>
                <c:pt idx="4">
                  <c:v>3.75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2.3333333333333335</c:v>
                </c:pt>
                <c:pt idx="9">
                  <c:v>3.6666666666666665</c:v>
                </c:pt>
                <c:pt idx="10">
                  <c:v>1.8</c:v>
                </c:pt>
                <c:pt idx="11">
                  <c:v>7</c:v>
                </c:pt>
                <c:pt idx="12">
                  <c:v>7</c:v>
                </c:pt>
                <c:pt idx="13">
                  <c:v>2.7</c:v>
                </c:pt>
                <c:pt idx="14">
                  <c:v>3.3333333333333335</c:v>
                </c:pt>
                <c:pt idx="15">
                  <c:v>5.8</c:v>
                </c:pt>
                <c:pt idx="16">
                  <c:v>3.5</c:v>
                </c:pt>
                <c:pt idx="17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7B-4CB0-987A-32B99ABDDCC4}"/>
            </c:ext>
          </c:extLst>
        </c:ser>
        <c:ser>
          <c:idx val="3"/>
          <c:order val="3"/>
          <c:tx>
            <c:strRef>
              <c:f>'Mission information'!$S$2</c:f>
              <c:strCache>
                <c:ptCount val="1"/>
                <c:pt idx="0">
                  <c:v>Defender avg. score/match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</c:marker>
          <c:yVal>
            <c:numRef>
              <c:f>'Mission information'!$S$3:$S$20</c:f>
              <c:numCache>
                <c:formatCode>0.0</c:formatCode>
                <c:ptCount val="18"/>
                <c:pt idx="0">
                  <c:v>1.625</c:v>
                </c:pt>
                <c:pt idx="1">
                  <c:v>3.6666666666666665</c:v>
                </c:pt>
                <c:pt idx="2">
                  <c:v>7</c:v>
                </c:pt>
                <c:pt idx="3">
                  <c:v>4.666666666666667</c:v>
                </c:pt>
                <c:pt idx="4">
                  <c:v>5.25</c:v>
                </c:pt>
                <c:pt idx="5">
                  <c:v>4</c:v>
                </c:pt>
                <c:pt idx="6">
                  <c:v>2.6666666666666665</c:v>
                </c:pt>
                <c:pt idx="7">
                  <c:v>8</c:v>
                </c:pt>
                <c:pt idx="8">
                  <c:v>5.666666666666667</c:v>
                </c:pt>
                <c:pt idx="9">
                  <c:v>5.333333333333333</c:v>
                </c:pt>
                <c:pt idx="10">
                  <c:v>4.2</c:v>
                </c:pt>
                <c:pt idx="11">
                  <c:v>2</c:v>
                </c:pt>
                <c:pt idx="12">
                  <c:v>2</c:v>
                </c:pt>
                <c:pt idx="13">
                  <c:v>6.3</c:v>
                </c:pt>
                <c:pt idx="14">
                  <c:v>1.3333333333333333</c:v>
                </c:pt>
                <c:pt idx="15">
                  <c:v>1.8</c:v>
                </c:pt>
                <c:pt idx="16">
                  <c:v>5.5</c:v>
                </c:pt>
                <c:pt idx="17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39B-4E06-AAA8-9D976CDA8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83375"/>
        <c:axId val="89982895"/>
      </c:scatterChart>
      <c:catAx>
        <c:axId val="15119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85407"/>
        <c:crosses val="autoZero"/>
        <c:auto val="1"/>
        <c:lblAlgn val="ctr"/>
        <c:lblOffset val="100"/>
        <c:noMultiLvlLbl val="0"/>
      </c:catAx>
      <c:valAx>
        <c:axId val="1511854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91647"/>
        <c:crosses val="autoZero"/>
        <c:crossBetween val="between"/>
      </c:valAx>
      <c:valAx>
        <c:axId val="89982895"/>
        <c:scaling>
          <c:orientation val="minMax"/>
          <c:max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83375"/>
        <c:crosses val="max"/>
        <c:crossBetween val="between"/>
      </c:valAx>
      <c:catAx>
        <c:axId val="89983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9982895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 Saltire III: Attacker win rate by Force and Mission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'Mission information'!$J$2</c:f>
              <c:strCache>
                <c:ptCount val="1"/>
                <c:pt idx="0">
                  <c:v>Infantry force win 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</c:strRef>
          </c:cat>
          <c:val>
            <c:numRef>
              <c:f>'Mission information'!$J$3:$J$20</c:f>
              <c:numCache>
                <c:formatCode>0.0%</c:formatCode>
                <c:ptCount val="1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A-4A0B-946B-2B6EE70D13A4}"/>
            </c:ext>
          </c:extLst>
        </c:ser>
        <c:ser>
          <c:idx val="1"/>
          <c:order val="1"/>
          <c:tx>
            <c:strRef>
              <c:f>'Mission information'!$L$2</c:f>
              <c:strCache>
                <c:ptCount val="1"/>
                <c:pt idx="0">
                  <c:v>Tank force win rate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  <a:effectLst/>
          </c:spPr>
          <c:invertIfNegative val="0"/>
          <c:cat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  <c:extLst xmlns:c15="http://schemas.microsoft.com/office/drawing/2012/chart"/>
            </c:strRef>
          </c:cat>
          <c:val>
            <c:numRef>
              <c:f>'Mission information'!$L$3:$L$20</c:f>
              <c:numCache>
                <c:formatCode>0.0%</c:formatCode>
                <c:ptCount val="18"/>
                <c:pt idx="0">
                  <c:v>0.75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0.33333333333333331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2A-4A0B-946B-2B6EE70D13A4}"/>
            </c:ext>
          </c:extLst>
        </c:ser>
        <c:ser>
          <c:idx val="2"/>
          <c:order val="2"/>
          <c:tx>
            <c:strRef>
              <c:f>'Mission information'!$N$2</c:f>
              <c:strCache>
                <c:ptCount val="1"/>
                <c:pt idx="0">
                  <c:v>Mechanised force win rate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val>
            <c:numRef>
              <c:f>'Mission information'!$N$3:$N$20</c:f>
              <c:numCache>
                <c:formatCode>0.0%</c:formatCode>
                <c:ptCount val="1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2A-4A0B-946B-2B6EE70D13A4}"/>
            </c:ext>
          </c:extLst>
        </c:ser>
        <c:ser>
          <c:idx val="3"/>
          <c:order val="3"/>
          <c:tx>
            <c:strRef>
              <c:f>'Mission information'!$P$2</c:f>
              <c:strCache>
                <c:ptCount val="1"/>
                <c:pt idx="0">
                  <c:v>Combined force win rate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  <a:effectLst/>
          </c:spPr>
          <c:invertIfNegative val="0"/>
          <c:val>
            <c:numRef>
              <c:f>'Mission information'!$P$3:$P$20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2A-4A0B-946B-2B6EE70D1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91647"/>
        <c:axId val="151185407"/>
      </c:barChart>
      <c:catAx>
        <c:axId val="15119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85407"/>
        <c:crosses val="autoZero"/>
        <c:auto val="1"/>
        <c:lblAlgn val="ctr"/>
        <c:lblOffset val="100"/>
        <c:noMultiLvlLbl val="0"/>
      </c:catAx>
      <c:valAx>
        <c:axId val="1511854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9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 Saltire III: Attacker win rate by Force and Mission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'Mission information'!$J$2</c:f>
              <c:strCache>
                <c:ptCount val="1"/>
                <c:pt idx="0">
                  <c:v>Infantry force win rate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</c:strRef>
          </c:cat>
          <c:val>
            <c:numRef>
              <c:f>'Mission information'!$J$3:$J$20</c:f>
              <c:numCache>
                <c:formatCode>0.0%</c:formatCode>
                <c:ptCount val="1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0-4FC3-B0B6-59764A2AD33F}"/>
            </c:ext>
          </c:extLst>
        </c:ser>
        <c:ser>
          <c:idx val="1"/>
          <c:order val="1"/>
          <c:tx>
            <c:strRef>
              <c:f>'Mission information'!$L$2</c:f>
              <c:strCache>
                <c:ptCount val="1"/>
                <c:pt idx="0">
                  <c:v>Tank force win rate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  <a:effectLst/>
          </c:spPr>
          <c:invertIfNegative val="0"/>
          <c:cat>
            <c:strRef>
              <c:f>'Mission information'!$B$3:$B$20</c:f>
              <c:strCache>
                <c:ptCount val="18"/>
                <c:pt idx="0">
                  <c:v>Bypass</c:v>
                </c:pt>
                <c:pt idx="1">
                  <c:v>Cornered</c:v>
                </c:pt>
                <c:pt idx="2">
                  <c:v>Counterattack</c:v>
                </c:pt>
                <c:pt idx="3">
                  <c:v>Countstrike</c:v>
                </c:pt>
                <c:pt idx="4">
                  <c:v>Covering Force</c:v>
                </c:pt>
                <c:pt idx="5">
                  <c:v>Dogfight</c:v>
                </c:pt>
                <c:pt idx="6">
                  <c:v>Dust Up</c:v>
                </c:pt>
                <c:pt idx="7">
                  <c:v>Encirclement</c:v>
                </c:pt>
                <c:pt idx="8">
                  <c:v>Encounter</c:v>
                </c:pt>
                <c:pt idx="9">
                  <c:v>Escape</c:v>
                </c:pt>
                <c:pt idx="10">
                  <c:v>Free for All</c:v>
                </c:pt>
                <c:pt idx="11">
                  <c:v>Hold the Pocket</c:v>
                </c:pt>
                <c:pt idx="12">
                  <c:v>It's a Trap</c:v>
                </c:pt>
                <c:pt idx="13">
                  <c:v>No Retreat</c:v>
                </c:pt>
                <c:pt idx="14">
                  <c:v>Outmaneuvered</c:v>
                </c:pt>
                <c:pt idx="15">
                  <c:v>Probe</c:v>
                </c:pt>
                <c:pt idx="16">
                  <c:v>Scouts Out</c:v>
                </c:pt>
                <c:pt idx="17">
                  <c:v>Valley of Death</c:v>
                </c:pt>
              </c:strCache>
              <c:extLst xmlns:c15="http://schemas.microsoft.com/office/drawing/2012/chart"/>
            </c:strRef>
          </c:cat>
          <c:val>
            <c:numRef>
              <c:f>'Mission information'!$L$3:$L$20</c:f>
              <c:numCache>
                <c:formatCode>0.0%</c:formatCode>
                <c:ptCount val="18"/>
                <c:pt idx="0">
                  <c:v>0.75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0.33333333333333331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0-4FC3-B0B6-59764A2AD33F}"/>
            </c:ext>
          </c:extLst>
        </c:ser>
        <c:ser>
          <c:idx val="2"/>
          <c:order val="2"/>
          <c:tx>
            <c:strRef>
              <c:f>'Mission information'!$N$2</c:f>
              <c:strCache>
                <c:ptCount val="1"/>
                <c:pt idx="0">
                  <c:v>Mechanised force win rate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  <a:effectLst/>
          </c:spPr>
          <c:invertIfNegative val="0"/>
          <c:val>
            <c:numRef>
              <c:f>'Mission information'!$N$3:$N$20</c:f>
              <c:numCache>
                <c:formatCode>0.0%</c:formatCode>
                <c:ptCount val="1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00-4FC3-B0B6-59764A2AD33F}"/>
            </c:ext>
          </c:extLst>
        </c:ser>
        <c:ser>
          <c:idx val="3"/>
          <c:order val="3"/>
          <c:tx>
            <c:strRef>
              <c:f>'Mission information'!$P$2</c:f>
              <c:strCache>
                <c:ptCount val="1"/>
                <c:pt idx="0">
                  <c:v>Combined force win rate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  <a:effectLst/>
          </c:spPr>
          <c:invertIfNegative val="0"/>
          <c:val>
            <c:numRef>
              <c:f>'Mission information'!$P$3:$P$20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00-4FC3-B0B6-59764A2AD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91647"/>
        <c:axId val="151185407"/>
      </c:barChart>
      <c:catAx>
        <c:axId val="15119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85407"/>
        <c:crosses val="autoZero"/>
        <c:auto val="1"/>
        <c:lblAlgn val="ctr"/>
        <c:lblOffset val="100"/>
        <c:noMultiLvlLbl val="0"/>
      </c:catAx>
      <c:valAx>
        <c:axId val="1511854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191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Operation: Saltire III - Win/Lose/Draw</a:t>
            </a:r>
            <a:r>
              <a:rPr lang="en-GB" baseline="0"/>
              <a:t> rate by Force Type 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'Force information'!$D$2</c:f>
              <c:strCache>
                <c:ptCount val="1"/>
                <c:pt idx="0">
                  <c:v>Win rate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information'!$D$3:$D$7</c15:sqref>
                  </c15:fullRef>
                </c:ext>
              </c:extLst>
              <c:f>'Force information'!$D$4:$D$7</c:f>
              <c:numCache>
                <c:formatCode>0.0%</c:formatCode>
                <c:ptCount val="4"/>
                <c:pt idx="0">
                  <c:v>0.45454545454545453</c:v>
                </c:pt>
                <c:pt idx="1">
                  <c:v>0.39130434782608697</c:v>
                </c:pt>
                <c:pt idx="2">
                  <c:v>0.33333333333333331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F-44AF-80DF-0F6F8493F9A1}"/>
            </c:ext>
          </c:extLst>
        </c:ser>
        <c:ser>
          <c:idx val="1"/>
          <c:order val="1"/>
          <c:tx>
            <c:strRef>
              <c:f>'Force information'!$E$2</c:f>
              <c:strCache>
                <c:ptCount val="1"/>
                <c:pt idx="0">
                  <c:v>Loss rate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information'!$E$3:$E$7</c15:sqref>
                  </c15:fullRef>
                </c:ext>
              </c:extLst>
              <c:f>'Force information'!$E$4:$E$7</c:f>
              <c:numCache>
                <c:formatCode>0.0%</c:formatCode>
                <c:ptCount val="4"/>
                <c:pt idx="0">
                  <c:v>0.36363636363636365</c:v>
                </c:pt>
                <c:pt idx="1">
                  <c:v>0.39130434782608697</c:v>
                </c:pt>
                <c:pt idx="2">
                  <c:v>0.5</c:v>
                </c:pt>
                <c:pt idx="3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F-44AF-80DF-0F6F8493F9A1}"/>
            </c:ext>
          </c:extLst>
        </c:ser>
        <c:ser>
          <c:idx val="2"/>
          <c:order val="2"/>
          <c:tx>
            <c:strRef>
              <c:f>'Force information'!$F$2</c:f>
              <c:strCache>
                <c:ptCount val="1"/>
                <c:pt idx="0">
                  <c:v>Draw rate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'Force information'!$A$3:$A$7</c15:sqref>
                  </c15:fullRef>
                </c:ext>
              </c:extLst>
              <c:f>'Force information'!$A$4:$A$7</c:f>
              <c:strCache>
                <c:ptCount val="4"/>
                <c:pt idx="0">
                  <c:v>Mechanised Infantry</c:v>
                </c:pt>
                <c:pt idx="1">
                  <c:v>Combined Tank/Infantry</c:v>
                </c:pt>
                <c:pt idx="2">
                  <c:v>Tank</c:v>
                </c:pt>
                <c:pt idx="3">
                  <c:v>Infantry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'Force information'!$F$3:$F$7</c15:sqref>
                  </c15:fullRef>
                </c:ext>
              </c:extLst>
              <c:f>'Force information'!$F$4:$F$7</c:f>
              <c:numCache>
                <c:formatCode>0.0%</c:formatCode>
                <c:ptCount val="4"/>
                <c:pt idx="0">
                  <c:v>0.18181818181818182</c:v>
                </c:pt>
                <c:pt idx="1">
                  <c:v>0.21739130434782608</c:v>
                </c:pt>
                <c:pt idx="2">
                  <c:v>0.16666666666666666</c:v>
                </c:pt>
                <c:pt idx="3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7F-44AF-80DF-0F6F8493F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18876384"/>
        <c:axId val="1118873504"/>
      </c:barChart>
      <c:catAx>
        <c:axId val="11188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3504"/>
        <c:crosses val="autoZero"/>
        <c:auto val="1"/>
        <c:lblAlgn val="ctr"/>
        <c:lblOffset val="100"/>
        <c:noMultiLvlLbl val="0"/>
      </c:catAx>
      <c:valAx>
        <c:axId val="11188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87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14286</xdr:colOff>
      <xdr:row>32</xdr:row>
      <xdr:rowOff>4762</xdr:rowOff>
    </xdr:from>
    <xdr:to>
      <xdr:col>7</xdr:col>
      <xdr:colOff>1095374</xdr:colOff>
      <xdr:row>53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18C159-277E-A0C8-DF35-96925BD0E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14286</xdr:colOff>
      <xdr:row>32</xdr:row>
      <xdr:rowOff>4761</xdr:rowOff>
    </xdr:from>
    <xdr:to>
      <xdr:col>15</xdr:col>
      <xdr:colOff>123824</xdr:colOff>
      <xdr:row>54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4FAEF9-6D4E-6BEE-AC04-02F9F89D2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14</xdr:row>
      <xdr:rowOff>185735</xdr:rowOff>
    </xdr:from>
    <xdr:to>
      <xdr:col>10</xdr:col>
      <xdr:colOff>19050</xdr:colOff>
      <xdr:row>35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153B50-932B-C3D8-5491-94280CE7A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4761</xdr:colOff>
      <xdr:row>5</xdr:row>
      <xdr:rowOff>4761</xdr:rowOff>
    </xdr:from>
    <xdr:to>
      <xdr:col>7</xdr:col>
      <xdr:colOff>9524</xdr:colOff>
      <xdr:row>23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C1EDDB-E035-967A-425D-C72CCB896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280986</xdr:colOff>
      <xdr:row>22</xdr:row>
      <xdr:rowOff>33337</xdr:rowOff>
    </xdr:from>
    <xdr:to>
      <xdr:col>7</xdr:col>
      <xdr:colOff>1095374</xdr:colOff>
      <xdr:row>41</xdr:row>
      <xdr:rowOff>180975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51D8B583-4E59-4355-2B1A-6AC0369C8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13</xdr:col>
      <xdr:colOff>1243013</xdr:colOff>
      <xdr:row>41</xdr:row>
      <xdr:rowOff>147638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A40F4236-9AB1-4E7F-B564-7962ED8D2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18</xdr:col>
      <xdr:colOff>1085644</xdr:colOff>
      <xdr:row>41</xdr:row>
      <xdr:rowOff>147638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D65F5323-3DA0-4CDD-8931-0D5383AF6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24</xdr:col>
      <xdr:colOff>15912</xdr:colOff>
      <xdr:row>41</xdr:row>
      <xdr:rowOff>147638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D42F828C-B53D-4B42-8A47-6400C58A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8</xdr:row>
      <xdr:rowOff>14287</xdr:rowOff>
    </xdr:from>
    <xdr:to>
      <xdr:col>5</xdr:col>
      <xdr:colOff>85725</xdr:colOff>
      <xdr:row>30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1C858A-2D2A-8685-B020-1AECEA897D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8</xdr:row>
      <xdr:rowOff>0</xdr:rowOff>
    </xdr:from>
    <xdr:to>
      <xdr:col>10</xdr:col>
      <xdr:colOff>542926</xdr:colOff>
      <xdr:row>30</xdr:row>
      <xdr:rowOff>33338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2A2C4B-8A94-4A70-BF91-6A4FAA6F1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8</xdr:row>
      <xdr:rowOff>0</xdr:rowOff>
    </xdr:from>
    <xdr:to>
      <xdr:col>15</xdr:col>
      <xdr:colOff>333376</xdr:colOff>
      <xdr:row>30</xdr:row>
      <xdr:rowOff>33338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E3926C-ED44-4C9C-8E82-20FB50F0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8</xdr:row>
      <xdr:rowOff>0</xdr:rowOff>
    </xdr:from>
    <xdr:to>
      <xdr:col>19</xdr:col>
      <xdr:colOff>1257301</xdr:colOff>
      <xdr:row>30</xdr:row>
      <xdr:rowOff>33338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5E3000-5CD2-4CF8-A197-D38D2BEE1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8</xdr:row>
      <xdr:rowOff>0</xdr:rowOff>
    </xdr:from>
    <xdr:to>
      <xdr:col>23</xdr:col>
      <xdr:colOff>1257301</xdr:colOff>
      <xdr:row>30</xdr:row>
      <xdr:rowOff>33338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C66B0F3-8F83-42F7-87AD-8E99C1754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8</xdr:row>
      <xdr:rowOff>0</xdr:rowOff>
    </xdr:from>
    <xdr:to>
      <xdr:col>27</xdr:col>
      <xdr:colOff>1257301</xdr:colOff>
      <xdr:row>30</xdr:row>
      <xdr:rowOff>33338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F45AFCD-96E4-408C-ACAC-6B045B557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0</xdr:colOff>
      <xdr:row>8</xdr:row>
      <xdr:rowOff>0</xdr:rowOff>
    </xdr:from>
    <xdr:to>
      <xdr:col>35</xdr:col>
      <xdr:colOff>123826</xdr:colOff>
      <xdr:row>30</xdr:row>
      <xdr:rowOff>33338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44EC437-9F7E-4A50-87A9-3A4E0C76F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0</xdr:colOff>
      <xdr:row>8</xdr:row>
      <xdr:rowOff>0</xdr:rowOff>
    </xdr:from>
    <xdr:to>
      <xdr:col>45</xdr:col>
      <xdr:colOff>19051</xdr:colOff>
      <xdr:row>30</xdr:row>
      <xdr:rowOff>33338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1F8DDFA-3432-415B-B9EF-5C0101514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AFDF-3554-4162-81FE-3A0707FB1B1F}">
  <dimension ref="A1:T63"/>
  <sheetViews>
    <sheetView workbookViewId="0">
      <pane ySplit="1" topLeftCell="A44" activePane="bottomLeft" state="frozen"/>
      <selection pane="bottomLeft" activeCell="I37" sqref="I37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5</v>
      </c>
      <c r="B2">
        <v>6</v>
      </c>
      <c r="C2" t="s">
        <v>20</v>
      </c>
      <c r="D2" t="s">
        <v>21</v>
      </c>
      <c r="E2" t="s">
        <v>22</v>
      </c>
      <c r="F2" t="s">
        <v>21</v>
      </c>
      <c r="H2" t="s">
        <v>23</v>
      </c>
      <c r="I2" t="s">
        <v>24</v>
      </c>
      <c r="J2" t="s">
        <v>25</v>
      </c>
      <c r="K2">
        <v>3</v>
      </c>
      <c r="L2">
        <v>2</v>
      </c>
      <c r="M2" t="s">
        <v>26</v>
      </c>
      <c r="O2" t="s">
        <v>27</v>
      </c>
      <c r="P2" t="s">
        <v>28</v>
      </c>
      <c r="Q2" t="s">
        <v>29</v>
      </c>
      <c r="R2">
        <v>2</v>
      </c>
      <c r="S2">
        <v>7</v>
      </c>
      <c r="T2" t="s">
        <v>30</v>
      </c>
    </row>
    <row r="3" spans="1:20" x14ac:dyDescent="0.25">
      <c r="A3">
        <v>5</v>
      </c>
      <c r="B3">
        <v>6</v>
      </c>
      <c r="C3" t="s">
        <v>31</v>
      </c>
      <c r="D3" t="s">
        <v>32</v>
      </c>
      <c r="E3" t="s">
        <v>33</v>
      </c>
      <c r="F3" t="s">
        <v>34</v>
      </c>
      <c r="H3" t="s">
        <v>35</v>
      </c>
      <c r="I3" t="s">
        <v>36</v>
      </c>
      <c r="J3" t="s">
        <v>37</v>
      </c>
      <c r="K3">
        <v>3</v>
      </c>
      <c r="L3">
        <v>3</v>
      </c>
      <c r="M3" t="s">
        <v>26</v>
      </c>
      <c r="O3" t="s">
        <v>38</v>
      </c>
      <c r="P3" t="s">
        <v>39</v>
      </c>
      <c r="Q3" t="s">
        <v>37</v>
      </c>
      <c r="R3">
        <v>3</v>
      </c>
      <c r="S3">
        <v>3</v>
      </c>
      <c r="T3" t="s">
        <v>30</v>
      </c>
    </row>
    <row r="4" spans="1:20" x14ac:dyDescent="0.25">
      <c r="A4">
        <v>5</v>
      </c>
      <c r="B4">
        <v>6</v>
      </c>
      <c r="C4" t="s">
        <v>40</v>
      </c>
      <c r="D4" t="s">
        <v>21</v>
      </c>
      <c r="E4" t="s">
        <v>22</v>
      </c>
      <c r="F4" t="s">
        <v>32</v>
      </c>
      <c r="H4" t="s">
        <v>41</v>
      </c>
      <c r="I4" t="s">
        <v>42</v>
      </c>
      <c r="J4" t="s">
        <v>37</v>
      </c>
      <c r="K4">
        <v>1</v>
      </c>
      <c r="L4">
        <v>8</v>
      </c>
      <c r="M4" t="s">
        <v>30</v>
      </c>
      <c r="O4" t="s">
        <v>43</v>
      </c>
      <c r="P4" t="s">
        <v>44</v>
      </c>
      <c r="Q4" t="s">
        <v>29</v>
      </c>
      <c r="R4">
        <v>5</v>
      </c>
      <c r="S4">
        <v>1</v>
      </c>
      <c r="T4" t="s">
        <v>26</v>
      </c>
    </row>
    <row r="5" spans="1:20" x14ac:dyDescent="0.25">
      <c r="A5">
        <v>5</v>
      </c>
      <c r="B5">
        <v>8</v>
      </c>
      <c r="C5" t="s">
        <v>31</v>
      </c>
      <c r="D5" t="s">
        <v>32</v>
      </c>
      <c r="E5" t="s">
        <v>45</v>
      </c>
      <c r="F5" t="s">
        <v>21</v>
      </c>
      <c r="H5" t="s">
        <v>46</v>
      </c>
      <c r="I5" t="s">
        <v>47</v>
      </c>
      <c r="J5" t="s">
        <v>25</v>
      </c>
      <c r="K5">
        <v>4</v>
      </c>
      <c r="L5">
        <v>3</v>
      </c>
      <c r="M5" t="s">
        <v>26</v>
      </c>
      <c r="O5" t="s">
        <v>48</v>
      </c>
      <c r="P5" t="s">
        <v>49</v>
      </c>
      <c r="Q5" t="s">
        <v>25</v>
      </c>
      <c r="R5">
        <v>3</v>
      </c>
      <c r="S5">
        <v>6</v>
      </c>
      <c r="T5" t="s">
        <v>30</v>
      </c>
    </row>
    <row r="6" spans="1:20" x14ac:dyDescent="0.25">
      <c r="A6">
        <v>5</v>
      </c>
      <c r="B6">
        <v>5</v>
      </c>
      <c r="C6" t="s">
        <v>20</v>
      </c>
      <c r="D6" t="s">
        <v>21</v>
      </c>
      <c r="E6" t="s">
        <v>50</v>
      </c>
      <c r="F6" t="s">
        <v>21</v>
      </c>
      <c r="H6" t="s">
        <v>51</v>
      </c>
      <c r="I6" t="s">
        <v>52</v>
      </c>
      <c r="J6" t="s">
        <v>25</v>
      </c>
      <c r="K6">
        <v>4</v>
      </c>
      <c r="L6">
        <v>1</v>
      </c>
      <c r="M6" t="s">
        <v>26</v>
      </c>
      <c r="O6" t="s">
        <v>53</v>
      </c>
      <c r="P6" t="s">
        <v>54</v>
      </c>
      <c r="Q6" t="s">
        <v>29</v>
      </c>
      <c r="R6">
        <v>1</v>
      </c>
      <c r="S6">
        <v>8</v>
      </c>
      <c r="T6" t="s">
        <v>30</v>
      </c>
    </row>
    <row r="7" spans="1:20" x14ac:dyDescent="0.25">
      <c r="A7">
        <v>5</v>
      </c>
      <c r="B7">
        <v>8</v>
      </c>
      <c r="C7" t="s">
        <v>55</v>
      </c>
      <c r="D7" t="s">
        <v>21</v>
      </c>
      <c r="E7" t="s">
        <v>45</v>
      </c>
      <c r="F7" t="s">
        <v>21</v>
      </c>
      <c r="H7" t="s">
        <v>56</v>
      </c>
      <c r="I7" t="s">
        <v>57</v>
      </c>
      <c r="J7" t="s">
        <v>37</v>
      </c>
      <c r="K7">
        <v>2</v>
      </c>
      <c r="L7">
        <v>1</v>
      </c>
      <c r="M7" t="s">
        <v>30</v>
      </c>
      <c r="O7" t="s">
        <v>58</v>
      </c>
      <c r="P7" t="s">
        <v>59</v>
      </c>
      <c r="Q7" t="s">
        <v>37</v>
      </c>
      <c r="R7">
        <v>1</v>
      </c>
      <c r="S7">
        <v>8</v>
      </c>
      <c r="T7" t="s">
        <v>26</v>
      </c>
    </row>
    <row r="8" spans="1:20" x14ac:dyDescent="0.25">
      <c r="A8">
        <v>5</v>
      </c>
      <c r="B8">
        <v>4</v>
      </c>
      <c r="C8" t="s">
        <v>40</v>
      </c>
      <c r="D8" t="s">
        <v>21</v>
      </c>
      <c r="E8" t="s">
        <v>50</v>
      </c>
      <c r="F8" t="s">
        <v>32</v>
      </c>
      <c r="H8" t="s">
        <v>60</v>
      </c>
      <c r="I8" t="s">
        <v>61</v>
      </c>
      <c r="J8" t="s">
        <v>37</v>
      </c>
      <c r="K8">
        <v>0</v>
      </c>
      <c r="L8">
        <v>8</v>
      </c>
      <c r="M8" t="s">
        <v>30</v>
      </c>
      <c r="O8" t="s">
        <v>62</v>
      </c>
      <c r="P8" t="s">
        <v>63</v>
      </c>
      <c r="Q8" t="s">
        <v>25</v>
      </c>
      <c r="R8">
        <v>5</v>
      </c>
      <c r="S8">
        <v>1</v>
      </c>
      <c r="T8" t="s">
        <v>26</v>
      </c>
    </row>
    <row r="9" spans="1:20" x14ac:dyDescent="0.25">
      <c r="A9">
        <v>5</v>
      </c>
      <c r="B9">
        <v>5</v>
      </c>
      <c r="C9" t="s">
        <v>64</v>
      </c>
      <c r="D9" t="s">
        <v>32</v>
      </c>
      <c r="E9" t="s">
        <v>45</v>
      </c>
      <c r="F9" t="s">
        <v>32</v>
      </c>
      <c r="H9" t="s">
        <v>65</v>
      </c>
      <c r="I9" t="s">
        <v>66</v>
      </c>
      <c r="J9" t="s">
        <v>25</v>
      </c>
      <c r="K9">
        <v>3</v>
      </c>
      <c r="L9">
        <v>6</v>
      </c>
      <c r="M9" t="s">
        <v>26</v>
      </c>
      <c r="O9" t="s">
        <v>67</v>
      </c>
      <c r="P9" t="s">
        <v>68</v>
      </c>
      <c r="Q9" t="s">
        <v>37</v>
      </c>
      <c r="R9">
        <v>6</v>
      </c>
      <c r="S9">
        <v>3</v>
      </c>
      <c r="T9" t="s">
        <v>30</v>
      </c>
    </row>
    <row r="10" spans="1:20" x14ac:dyDescent="0.25">
      <c r="A10">
        <v>5</v>
      </c>
      <c r="B10">
        <v>4</v>
      </c>
      <c r="C10" t="s">
        <v>40</v>
      </c>
      <c r="D10" t="s">
        <v>21</v>
      </c>
      <c r="E10" t="s">
        <v>45</v>
      </c>
      <c r="F10" t="s">
        <v>21</v>
      </c>
      <c r="H10" t="s">
        <v>69</v>
      </c>
      <c r="I10" t="s">
        <v>70</v>
      </c>
      <c r="J10" t="s">
        <v>37</v>
      </c>
      <c r="K10">
        <v>5</v>
      </c>
      <c r="L10">
        <v>1</v>
      </c>
      <c r="M10" t="s">
        <v>30</v>
      </c>
      <c r="O10" t="s">
        <v>71</v>
      </c>
      <c r="P10" t="s">
        <v>72</v>
      </c>
      <c r="Q10" t="s">
        <v>29</v>
      </c>
      <c r="R10">
        <v>0</v>
      </c>
      <c r="S10">
        <v>8</v>
      </c>
      <c r="T10" t="s">
        <v>26</v>
      </c>
    </row>
    <row r="11" spans="1:20" x14ac:dyDescent="0.25">
      <c r="A11">
        <v>5</v>
      </c>
      <c r="B11">
        <v>6</v>
      </c>
      <c r="C11" t="s">
        <v>73</v>
      </c>
      <c r="D11" t="s">
        <v>32</v>
      </c>
      <c r="E11" t="s">
        <v>22</v>
      </c>
      <c r="F11" t="s">
        <v>21</v>
      </c>
      <c r="H11" t="s">
        <v>74</v>
      </c>
      <c r="I11" t="s">
        <v>75</v>
      </c>
      <c r="J11" t="s">
        <v>25</v>
      </c>
      <c r="K11">
        <v>4</v>
      </c>
      <c r="L11">
        <v>1</v>
      </c>
      <c r="M11" t="s">
        <v>26</v>
      </c>
      <c r="O11" t="s">
        <v>76</v>
      </c>
      <c r="P11" t="s">
        <v>77</v>
      </c>
      <c r="Q11" t="s">
        <v>37</v>
      </c>
      <c r="R11">
        <v>1</v>
      </c>
      <c r="S11">
        <v>8</v>
      </c>
      <c r="T11" t="s">
        <v>30</v>
      </c>
    </row>
    <row r="12" spans="1:20" x14ac:dyDescent="0.25">
      <c r="A12">
        <v>5</v>
      </c>
      <c r="B12">
        <v>3</v>
      </c>
      <c r="C12" t="s">
        <v>64</v>
      </c>
      <c r="D12" t="s">
        <v>32</v>
      </c>
      <c r="E12" t="s">
        <v>45</v>
      </c>
      <c r="F12" t="s">
        <v>32</v>
      </c>
      <c r="H12" t="s">
        <v>78</v>
      </c>
      <c r="I12" t="s">
        <v>79</v>
      </c>
      <c r="J12" t="s">
        <v>25</v>
      </c>
      <c r="K12">
        <v>0</v>
      </c>
      <c r="L12">
        <v>8</v>
      </c>
      <c r="M12" t="s">
        <v>26</v>
      </c>
      <c r="O12" t="s">
        <v>80</v>
      </c>
      <c r="P12" t="s">
        <v>81</v>
      </c>
      <c r="Q12" t="s">
        <v>37</v>
      </c>
      <c r="R12">
        <v>3</v>
      </c>
      <c r="S12">
        <v>1</v>
      </c>
      <c r="T12" t="s">
        <v>30</v>
      </c>
    </row>
    <row r="13" spans="1:20" x14ac:dyDescent="0.25">
      <c r="A13">
        <v>5</v>
      </c>
      <c r="B13">
        <v>3</v>
      </c>
      <c r="C13" t="s">
        <v>20</v>
      </c>
      <c r="D13" t="s">
        <v>21</v>
      </c>
      <c r="E13" t="s">
        <v>45</v>
      </c>
      <c r="F13" t="s">
        <v>32</v>
      </c>
      <c r="H13" t="s">
        <v>82</v>
      </c>
      <c r="I13" t="s">
        <v>83</v>
      </c>
      <c r="J13" t="s">
        <v>25</v>
      </c>
      <c r="K13">
        <v>0</v>
      </c>
      <c r="L13">
        <v>8</v>
      </c>
      <c r="M13" t="s">
        <v>26</v>
      </c>
      <c r="O13" t="s">
        <v>84</v>
      </c>
      <c r="P13" t="s">
        <v>85</v>
      </c>
      <c r="Q13" t="s">
        <v>29</v>
      </c>
      <c r="R13">
        <v>0</v>
      </c>
      <c r="S13">
        <v>1</v>
      </c>
      <c r="T13" t="s">
        <v>30</v>
      </c>
    </row>
    <row r="14" spans="1:20" x14ac:dyDescent="0.25">
      <c r="A14">
        <v>5</v>
      </c>
      <c r="B14">
        <v>6</v>
      </c>
      <c r="C14" t="s">
        <v>40</v>
      </c>
      <c r="D14" t="s">
        <v>21</v>
      </c>
      <c r="E14" t="s">
        <v>22</v>
      </c>
      <c r="F14" t="s">
        <v>32</v>
      </c>
      <c r="H14" t="s">
        <v>86</v>
      </c>
      <c r="I14" t="s">
        <v>87</v>
      </c>
      <c r="J14" t="s">
        <v>37</v>
      </c>
      <c r="K14">
        <v>1</v>
      </c>
      <c r="L14">
        <v>8</v>
      </c>
      <c r="M14" t="s">
        <v>30</v>
      </c>
      <c r="O14" t="s">
        <v>88</v>
      </c>
      <c r="P14" t="s">
        <v>89</v>
      </c>
      <c r="Q14" t="s">
        <v>29</v>
      </c>
      <c r="R14">
        <v>5</v>
      </c>
      <c r="S14">
        <v>1</v>
      </c>
      <c r="T14" t="s">
        <v>26</v>
      </c>
    </row>
    <row r="15" spans="1:20" x14ac:dyDescent="0.25">
      <c r="A15">
        <v>4</v>
      </c>
      <c r="B15">
        <v>5</v>
      </c>
      <c r="C15" t="s">
        <v>90</v>
      </c>
      <c r="D15" t="s">
        <v>32</v>
      </c>
      <c r="E15" t="s">
        <v>33</v>
      </c>
      <c r="F15" t="s">
        <v>34</v>
      </c>
      <c r="H15" t="s">
        <v>65</v>
      </c>
      <c r="I15" t="s">
        <v>66</v>
      </c>
      <c r="J15" t="s">
        <v>29</v>
      </c>
      <c r="K15">
        <v>0</v>
      </c>
      <c r="L15">
        <v>1</v>
      </c>
      <c r="M15" t="s">
        <v>26</v>
      </c>
      <c r="O15" t="s">
        <v>60</v>
      </c>
      <c r="P15" t="s">
        <v>61</v>
      </c>
      <c r="Q15" t="s">
        <v>37</v>
      </c>
      <c r="R15">
        <v>0</v>
      </c>
      <c r="S15">
        <v>1</v>
      </c>
      <c r="T15" t="s">
        <v>30</v>
      </c>
    </row>
    <row r="16" spans="1:20" x14ac:dyDescent="0.25">
      <c r="A16">
        <v>4</v>
      </c>
      <c r="B16">
        <v>9</v>
      </c>
      <c r="C16" t="s">
        <v>90</v>
      </c>
      <c r="D16" t="s">
        <v>21</v>
      </c>
      <c r="E16" t="s">
        <v>33</v>
      </c>
      <c r="F16" t="s">
        <v>34</v>
      </c>
      <c r="H16" t="s">
        <v>86</v>
      </c>
      <c r="I16" t="s">
        <v>87</v>
      </c>
      <c r="J16" t="s">
        <v>37</v>
      </c>
      <c r="K16">
        <v>0</v>
      </c>
      <c r="L16">
        <v>3</v>
      </c>
      <c r="M16" t="s">
        <v>30</v>
      </c>
      <c r="O16" t="s">
        <v>67</v>
      </c>
      <c r="P16" t="s">
        <v>68</v>
      </c>
      <c r="Q16" t="s">
        <v>29</v>
      </c>
      <c r="R16">
        <v>3</v>
      </c>
      <c r="S16">
        <v>1</v>
      </c>
      <c r="T16" t="s">
        <v>26</v>
      </c>
    </row>
    <row r="17" spans="1:20" x14ac:dyDescent="0.25">
      <c r="A17">
        <v>4</v>
      </c>
      <c r="B17">
        <v>5</v>
      </c>
      <c r="C17" t="s">
        <v>90</v>
      </c>
      <c r="D17" t="s">
        <v>32</v>
      </c>
      <c r="E17" t="s">
        <v>33</v>
      </c>
      <c r="F17" t="s">
        <v>34</v>
      </c>
      <c r="H17" t="s">
        <v>51</v>
      </c>
      <c r="I17" t="s">
        <v>52</v>
      </c>
      <c r="J17" t="s">
        <v>25</v>
      </c>
      <c r="K17">
        <v>2</v>
      </c>
      <c r="L17">
        <v>1</v>
      </c>
      <c r="M17" t="s">
        <v>26</v>
      </c>
      <c r="O17" t="s">
        <v>43</v>
      </c>
      <c r="P17" t="s">
        <v>44</v>
      </c>
      <c r="Q17" t="s">
        <v>29</v>
      </c>
      <c r="R17">
        <v>1</v>
      </c>
      <c r="S17">
        <v>2</v>
      </c>
      <c r="T17" t="s">
        <v>30</v>
      </c>
    </row>
    <row r="18" spans="1:20" x14ac:dyDescent="0.25">
      <c r="A18">
        <v>4</v>
      </c>
      <c r="B18">
        <v>6</v>
      </c>
      <c r="C18" t="s">
        <v>55</v>
      </c>
      <c r="D18" t="s">
        <v>21</v>
      </c>
      <c r="E18" t="s">
        <v>45</v>
      </c>
      <c r="F18" t="s">
        <v>21</v>
      </c>
      <c r="H18" t="s">
        <v>48</v>
      </c>
      <c r="I18" t="s">
        <v>49</v>
      </c>
      <c r="J18" t="s">
        <v>29</v>
      </c>
      <c r="K18">
        <v>3</v>
      </c>
      <c r="L18">
        <v>1</v>
      </c>
      <c r="M18" t="s">
        <v>30</v>
      </c>
      <c r="O18" t="s">
        <v>71</v>
      </c>
      <c r="P18" t="s">
        <v>72</v>
      </c>
      <c r="Q18" t="s">
        <v>29</v>
      </c>
      <c r="R18">
        <v>1</v>
      </c>
      <c r="S18">
        <v>8</v>
      </c>
      <c r="T18" t="s">
        <v>26</v>
      </c>
    </row>
    <row r="19" spans="1:20" x14ac:dyDescent="0.25">
      <c r="A19">
        <v>4</v>
      </c>
      <c r="B19">
        <v>4</v>
      </c>
      <c r="C19" t="s">
        <v>91</v>
      </c>
      <c r="D19" t="s">
        <v>21</v>
      </c>
      <c r="E19" t="s">
        <v>45</v>
      </c>
      <c r="F19" t="s">
        <v>21</v>
      </c>
      <c r="H19" t="s">
        <v>38</v>
      </c>
      <c r="I19" t="s">
        <v>39</v>
      </c>
      <c r="J19" t="s">
        <v>37</v>
      </c>
      <c r="K19">
        <v>1</v>
      </c>
      <c r="L19">
        <v>2</v>
      </c>
      <c r="M19" t="s">
        <v>30</v>
      </c>
      <c r="O19" t="s">
        <v>88</v>
      </c>
      <c r="P19" t="s">
        <v>89</v>
      </c>
      <c r="Q19" t="s">
        <v>25</v>
      </c>
      <c r="R19">
        <v>2</v>
      </c>
      <c r="S19">
        <v>7</v>
      </c>
      <c r="T19" t="s">
        <v>26</v>
      </c>
    </row>
    <row r="20" spans="1:20" x14ac:dyDescent="0.25">
      <c r="A20">
        <v>4</v>
      </c>
      <c r="B20">
        <v>4</v>
      </c>
      <c r="C20" t="s">
        <v>55</v>
      </c>
      <c r="D20" t="s">
        <v>32</v>
      </c>
      <c r="E20" t="s">
        <v>45</v>
      </c>
      <c r="F20" t="s">
        <v>32</v>
      </c>
      <c r="H20" t="s">
        <v>78</v>
      </c>
      <c r="I20" t="s">
        <v>79</v>
      </c>
      <c r="J20" t="s">
        <v>25</v>
      </c>
      <c r="K20">
        <v>0</v>
      </c>
      <c r="L20">
        <v>8</v>
      </c>
      <c r="M20" t="s">
        <v>26</v>
      </c>
      <c r="O20" t="s">
        <v>58</v>
      </c>
      <c r="P20" t="s">
        <v>59</v>
      </c>
      <c r="Q20" t="s">
        <v>25</v>
      </c>
      <c r="R20">
        <v>3</v>
      </c>
      <c r="S20">
        <v>1</v>
      </c>
      <c r="T20" t="s">
        <v>30</v>
      </c>
    </row>
    <row r="21" spans="1:20" x14ac:dyDescent="0.25">
      <c r="A21">
        <v>4</v>
      </c>
      <c r="B21">
        <v>6</v>
      </c>
      <c r="C21" t="s">
        <v>55</v>
      </c>
      <c r="D21" t="s">
        <v>32</v>
      </c>
      <c r="E21" t="s">
        <v>33</v>
      </c>
      <c r="F21" t="s">
        <v>34</v>
      </c>
      <c r="H21" t="s">
        <v>27</v>
      </c>
      <c r="I21" t="s">
        <v>28</v>
      </c>
      <c r="J21" t="s">
        <v>37</v>
      </c>
      <c r="K21">
        <v>3</v>
      </c>
      <c r="L21">
        <v>2</v>
      </c>
      <c r="M21" t="s">
        <v>26</v>
      </c>
      <c r="O21" t="s">
        <v>56</v>
      </c>
      <c r="P21" t="s">
        <v>57</v>
      </c>
      <c r="Q21" t="s">
        <v>37</v>
      </c>
      <c r="R21">
        <v>2</v>
      </c>
      <c r="S21">
        <v>3</v>
      </c>
      <c r="T21" t="s">
        <v>30</v>
      </c>
    </row>
    <row r="22" spans="1:20" x14ac:dyDescent="0.25">
      <c r="A22">
        <v>4</v>
      </c>
      <c r="B22">
        <v>8</v>
      </c>
      <c r="C22" t="s">
        <v>55</v>
      </c>
      <c r="D22" t="s">
        <v>21</v>
      </c>
      <c r="E22" t="s">
        <v>33</v>
      </c>
      <c r="F22" t="s">
        <v>34</v>
      </c>
      <c r="H22" t="s">
        <v>74</v>
      </c>
      <c r="I22" t="s">
        <v>75</v>
      </c>
      <c r="J22" t="s">
        <v>37</v>
      </c>
      <c r="K22">
        <v>3</v>
      </c>
      <c r="L22">
        <v>3</v>
      </c>
      <c r="M22" t="s">
        <v>30</v>
      </c>
      <c r="O22" t="s">
        <v>35</v>
      </c>
      <c r="P22" t="s">
        <v>36</v>
      </c>
      <c r="Q22" t="s">
        <v>37</v>
      </c>
      <c r="R22">
        <v>4</v>
      </c>
      <c r="S22">
        <v>3</v>
      </c>
      <c r="T22" t="s">
        <v>26</v>
      </c>
    </row>
    <row r="23" spans="1:20" x14ac:dyDescent="0.25">
      <c r="A23">
        <v>4</v>
      </c>
      <c r="B23">
        <v>6</v>
      </c>
      <c r="C23" t="s">
        <v>90</v>
      </c>
      <c r="D23" t="s">
        <v>21</v>
      </c>
      <c r="E23" t="s">
        <v>45</v>
      </c>
      <c r="F23" t="s">
        <v>21</v>
      </c>
      <c r="H23" t="s">
        <v>41</v>
      </c>
      <c r="I23" t="s">
        <v>42</v>
      </c>
      <c r="J23" t="s">
        <v>37</v>
      </c>
      <c r="K23">
        <v>2</v>
      </c>
      <c r="L23">
        <v>2</v>
      </c>
      <c r="M23" t="s">
        <v>30</v>
      </c>
      <c r="O23" t="s">
        <v>80</v>
      </c>
      <c r="P23" t="s">
        <v>81</v>
      </c>
      <c r="Q23" t="s">
        <v>29</v>
      </c>
      <c r="R23">
        <v>2</v>
      </c>
      <c r="S23">
        <v>7</v>
      </c>
      <c r="T23" t="s">
        <v>26</v>
      </c>
    </row>
    <row r="24" spans="1:20" x14ac:dyDescent="0.25">
      <c r="A24">
        <v>4</v>
      </c>
      <c r="B24">
        <v>5</v>
      </c>
      <c r="C24" t="s">
        <v>90</v>
      </c>
      <c r="D24" t="s">
        <v>32</v>
      </c>
      <c r="E24" t="s">
        <v>45</v>
      </c>
      <c r="F24" t="s">
        <v>32</v>
      </c>
      <c r="H24" t="s">
        <v>82</v>
      </c>
      <c r="I24" t="s">
        <v>83</v>
      </c>
      <c r="J24" t="s">
        <v>29</v>
      </c>
      <c r="K24">
        <v>1</v>
      </c>
      <c r="L24">
        <v>8</v>
      </c>
      <c r="M24" t="s">
        <v>26</v>
      </c>
      <c r="O24" t="s">
        <v>53</v>
      </c>
      <c r="P24" t="s">
        <v>54</v>
      </c>
      <c r="Q24" t="s">
        <v>37</v>
      </c>
      <c r="R24">
        <v>2</v>
      </c>
      <c r="S24">
        <v>1</v>
      </c>
      <c r="T24" t="s">
        <v>30</v>
      </c>
    </row>
    <row r="25" spans="1:20" x14ac:dyDescent="0.25">
      <c r="A25">
        <v>4</v>
      </c>
      <c r="B25">
        <v>6</v>
      </c>
      <c r="C25" t="s">
        <v>90</v>
      </c>
      <c r="D25" t="s">
        <v>32</v>
      </c>
      <c r="E25" t="s">
        <v>45</v>
      </c>
      <c r="F25" t="s">
        <v>32</v>
      </c>
      <c r="H25" t="s">
        <v>62</v>
      </c>
      <c r="I25" t="s">
        <v>63</v>
      </c>
      <c r="J25" t="s">
        <v>29</v>
      </c>
      <c r="K25">
        <v>1</v>
      </c>
      <c r="L25">
        <v>8</v>
      </c>
      <c r="M25" t="s">
        <v>26</v>
      </c>
      <c r="O25" t="s">
        <v>23</v>
      </c>
      <c r="P25" t="s">
        <v>24</v>
      </c>
      <c r="Q25" t="s">
        <v>37</v>
      </c>
      <c r="R25">
        <v>1</v>
      </c>
      <c r="S25">
        <v>1</v>
      </c>
      <c r="T25" t="s">
        <v>30</v>
      </c>
    </row>
    <row r="26" spans="1:20" x14ac:dyDescent="0.25">
      <c r="A26">
        <v>4</v>
      </c>
      <c r="B26">
        <v>4</v>
      </c>
      <c r="C26" t="s">
        <v>90</v>
      </c>
      <c r="D26" t="s">
        <v>32</v>
      </c>
      <c r="E26" t="s">
        <v>45</v>
      </c>
      <c r="F26" t="s">
        <v>32</v>
      </c>
      <c r="H26" t="s">
        <v>69</v>
      </c>
      <c r="I26" t="s">
        <v>70</v>
      </c>
      <c r="J26" t="s">
        <v>29</v>
      </c>
      <c r="K26">
        <v>2</v>
      </c>
      <c r="L26">
        <v>7</v>
      </c>
      <c r="M26" t="s">
        <v>26</v>
      </c>
      <c r="O26" t="s">
        <v>46</v>
      </c>
      <c r="P26" t="s">
        <v>47</v>
      </c>
      <c r="Q26" t="s">
        <v>37</v>
      </c>
      <c r="R26">
        <v>2</v>
      </c>
      <c r="S26">
        <v>2</v>
      </c>
      <c r="T26" t="s">
        <v>30</v>
      </c>
    </row>
    <row r="27" spans="1:20" x14ac:dyDescent="0.25">
      <c r="A27">
        <v>4</v>
      </c>
      <c r="B27">
        <v>6</v>
      </c>
      <c r="C27" t="s">
        <v>90</v>
      </c>
      <c r="D27" t="s">
        <v>21</v>
      </c>
      <c r="E27" t="s">
        <v>45</v>
      </c>
      <c r="F27" t="s">
        <v>21</v>
      </c>
      <c r="H27" t="s">
        <v>84</v>
      </c>
      <c r="I27" t="s">
        <v>85</v>
      </c>
      <c r="J27" t="s">
        <v>29</v>
      </c>
      <c r="K27">
        <v>2</v>
      </c>
      <c r="L27">
        <v>1</v>
      </c>
      <c r="M27" t="s">
        <v>30</v>
      </c>
      <c r="O27" t="s">
        <v>76</v>
      </c>
      <c r="P27" t="s">
        <v>77</v>
      </c>
      <c r="Q27" t="s">
        <v>25</v>
      </c>
      <c r="R27">
        <v>0</v>
      </c>
      <c r="S27">
        <v>8</v>
      </c>
      <c r="T27" t="s">
        <v>26</v>
      </c>
    </row>
    <row r="28" spans="1:20" x14ac:dyDescent="0.25">
      <c r="A28">
        <v>3</v>
      </c>
      <c r="B28">
        <v>6</v>
      </c>
      <c r="C28" t="s">
        <v>40</v>
      </c>
      <c r="D28" t="s">
        <v>32</v>
      </c>
      <c r="E28" t="s">
        <v>22</v>
      </c>
      <c r="F28" t="s">
        <v>21</v>
      </c>
      <c r="H28" t="s">
        <v>41</v>
      </c>
      <c r="I28" t="s">
        <v>42</v>
      </c>
      <c r="J28" t="s">
        <v>25</v>
      </c>
      <c r="K28">
        <v>3</v>
      </c>
      <c r="L28">
        <v>3</v>
      </c>
      <c r="M28" t="s">
        <v>26</v>
      </c>
      <c r="O28" t="s">
        <v>76</v>
      </c>
      <c r="P28" t="s">
        <v>77</v>
      </c>
      <c r="Q28" t="s">
        <v>37</v>
      </c>
      <c r="R28">
        <v>3</v>
      </c>
      <c r="S28">
        <v>6</v>
      </c>
      <c r="T28" t="s">
        <v>30</v>
      </c>
    </row>
    <row r="29" spans="1:20" x14ac:dyDescent="0.25">
      <c r="A29">
        <v>3</v>
      </c>
      <c r="B29">
        <v>6</v>
      </c>
      <c r="C29" t="s">
        <v>40</v>
      </c>
      <c r="D29" t="s">
        <v>21</v>
      </c>
      <c r="E29" t="s">
        <v>22</v>
      </c>
      <c r="F29" t="s">
        <v>32</v>
      </c>
      <c r="H29" t="s">
        <v>38</v>
      </c>
      <c r="I29" t="s">
        <v>39</v>
      </c>
      <c r="J29" t="s">
        <v>37</v>
      </c>
      <c r="K29">
        <v>2</v>
      </c>
      <c r="L29">
        <v>7</v>
      </c>
      <c r="M29" t="s">
        <v>30</v>
      </c>
      <c r="O29" t="s">
        <v>82</v>
      </c>
      <c r="P29" t="s">
        <v>83</v>
      </c>
      <c r="Q29" t="s">
        <v>25</v>
      </c>
      <c r="R29">
        <v>1</v>
      </c>
      <c r="S29">
        <v>2</v>
      </c>
      <c r="T29" t="s">
        <v>26</v>
      </c>
    </row>
    <row r="30" spans="1:20" x14ac:dyDescent="0.25">
      <c r="A30">
        <v>3</v>
      </c>
      <c r="B30">
        <v>5</v>
      </c>
      <c r="C30" t="s">
        <v>92</v>
      </c>
      <c r="D30" t="s">
        <v>32</v>
      </c>
      <c r="E30" t="s">
        <v>33</v>
      </c>
      <c r="F30" t="s">
        <v>34</v>
      </c>
      <c r="H30" t="s">
        <v>56</v>
      </c>
      <c r="I30" t="s">
        <v>57</v>
      </c>
      <c r="J30" t="s">
        <v>37</v>
      </c>
      <c r="K30">
        <v>3</v>
      </c>
      <c r="L30">
        <v>1</v>
      </c>
      <c r="M30" t="s">
        <v>26</v>
      </c>
      <c r="O30" t="s">
        <v>53</v>
      </c>
      <c r="P30" t="s">
        <v>54</v>
      </c>
      <c r="Q30" t="s">
        <v>37</v>
      </c>
      <c r="R30">
        <v>1</v>
      </c>
      <c r="S30">
        <v>3</v>
      </c>
      <c r="T30" t="s">
        <v>30</v>
      </c>
    </row>
    <row r="31" spans="1:20" x14ac:dyDescent="0.25">
      <c r="A31">
        <v>3</v>
      </c>
      <c r="B31">
        <v>6</v>
      </c>
      <c r="C31" t="s">
        <v>93</v>
      </c>
      <c r="D31" t="s">
        <v>21</v>
      </c>
      <c r="E31" t="s">
        <v>22</v>
      </c>
      <c r="F31" t="s">
        <v>32</v>
      </c>
      <c r="H31" t="s">
        <v>67</v>
      </c>
      <c r="I31" t="s">
        <v>68</v>
      </c>
      <c r="J31" t="s">
        <v>29</v>
      </c>
      <c r="K31">
        <v>0</v>
      </c>
      <c r="L31">
        <v>8</v>
      </c>
      <c r="M31" t="s">
        <v>30</v>
      </c>
      <c r="O31" t="s">
        <v>62</v>
      </c>
      <c r="P31" t="s">
        <v>63</v>
      </c>
      <c r="Q31" t="s">
        <v>25</v>
      </c>
      <c r="R31">
        <v>2</v>
      </c>
      <c r="S31">
        <v>1</v>
      </c>
      <c r="T31" t="s">
        <v>26</v>
      </c>
    </row>
    <row r="32" spans="1:20" x14ac:dyDescent="0.25">
      <c r="A32">
        <v>3</v>
      </c>
      <c r="B32">
        <v>6</v>
      </c>
      <c r="C32" t="s">
        <v>93</v>
      </c>
      <c r="D32" t="s">
        <v>21</v>
      </c>
      <c r="E32" t="s">
        <v>22</v>
      </c>
      <c r="F32" t="s">
        <v>32</v>
      </c>
      <c r="H32" t="s">
        <v>46</v>
      </c>
      <c r="I32" t="s">
        <v>47</v>
      </c>
      <c r="J32" t="s">
        <v>37</v>
      </c>
      <c r="K32">
        <v>2</v>
      </c>
      <c r="L32">
        <v>7</v>
      </c>
      <c r="M32" t="s">
        <v>30</v>
      </c>
      <c r="O32" t="s">
        <v>43</v>
      </c>
      <c r="P32" t="s">
        <v>44</v>
      </c>
      <c r="Q32" t="s">
        <v>29</v>
      </c>
      <c r="R32">
        <v>1</v>
      </c>
      <c r="S32">
        <v>2</v>
      </c>
      <c r="T32" t="s">
        <v>26</v>
      </c>
    </row>
    <row r="33" spans="1:20" x14ac:dyDescent="0.25">
      <c r="A33">
        <v>3</v>
      </c>
      <c r="B33">
        <v>6</v>
      </c>
      <c r="C33" t="s">
        <v>40</v>
      </c>
      <c r="D33" t="s">
        <v>32</v>
      </c>
      <c r="E33" t="s">
        <v>22</v>
      </c>
      <c r="F33" t="s">
        <v>21</v>
      </c>
      <c r="H33" t="s">
        <v>69</v>
      </c>
      <c r="I33" t="s">
        <v>70</v>
      </c>
      <c r="J33" t="s">
        <v>25</v>
      </c>
      <c r="K33">
        <v>5</v>
      </c>
      <c r="L33">
        <v>1</v>
      </c>
      <c r="M33" t="s">
        <v>26</v>
      </c>
      <c r="O33" t="s">
        <v>60</v>
      </c>
      <c r="P33" t="s">
        <v>61</v>
      </c>
      <c r="Q33" t="s">
        <v>37</v>
      </c>
      <c r="R33">
        <v>1</v>
      </c>
      <c r="S33">
        <v>8</v>
      </c>
      <c r="T33" t="s">
        <v>30</v>
      </c>
    </row>
    <row r="34" spans="1:20" x14ac:dyDescent="0.25">
      <c r="A34">
        <v>3</v>
      </c>
      <c r="B34">
        <v>7</v>
      </c>
      <c r="C34" t="s">
        <v>40</v>
      </c>
      <c r="D34" t="s">
        <v>32</v>
      </c>
      <c r="E34" t="s">
        <v>45</v>
      </c>
      <c r="F34" t="s">
        <v>32</v>
      </c>
      <c r="H34" t="s">
        <v>86</v>
      </c>
      <c r="I34" t="s">
        <v>87</v>
      </c>
      <c r="J34" t="s">
        <v>25</v>
      </c>
      <c r="K34">
        <v>2</v>
      </c>
      <c r="L34">
        <v>7</v>
      </c>
      <c r="M34" t="s">
        <v>26</v>
      </c>
      <c r="O34" t="s">
        <v>27</v>
      </c>
      <c r="P34" t="s">
        <v>28</v>
      </c>
      <c r="Q34" t="s">
        <v>37</v>
      </c>
      <c r="R34">
        <v>5</v>
      </c>
      <c r="S34">
        <v>2</v>
      </c>
      <c r="T34" t="s">
        <v>30</v>
      </c>
    </row>
    <row r="35" spans="1:20" x14ac:dyDescent="0.25">
      <c r="A35">
        <v>3</v>
      </c>
      <c r="B35">
        <v>6</v>
      </c>
      <c r="C35" t="s">
        <v>40</v>
      </c>
      <c r="D35" t="s">
        <v>32</v>
      </c>
      <c r="E35" t="s">
        <v>22</v>
      </c>
      <c r="F35" t="s">
        <v>21</v>
      </c>
      <c r="H35" t="s">
        <v>78</v>
      </c>
      <c r="I35" t="s">
        <v>79</v>
      </c>
      <c r="J35" t="s">
        <v>25</v>
      </c>
      <c r="K35">
        <v>3</v>
      </c>
      <c r="L35">
        <v>2</v>
      </c>
      <c r="M35" t="s">
        <v>26</v>
      </c>
      <c r="O35" t="s">
        <v>23</v>
      </c>
      <c r="P35" t="s">
        <v>24</v>
      </c>
      <c r="Q35" t="s">
        <v>37</v>
      </c>
      <c r="R35">
        <v>2</v>
      </c>
      <c r="S35">
        <v>7</v>
      </c>
      <c r="T35" t="s">
        <v>30</v>
      </c>
    </row>
    <row r="36" spans="1:20" x14ac:dyDescent="0.25">
      <c r="A36">
        <v>3</v>
      </c>
      <c r="B36">
        <v>6</v>
      </c>
      <c r="C36" t="s">
        <v>40</v>
      </c>
      <c r="D36" t="s">
        <v>21</v>
      </c>
      <c r="E36" t="s">
        <v>22</v>
      </c>
      <c r="F36" t="s">
        <v>32</v>
      </c>
      <c r="H36" t="s">
        <v>65</v>
      </c>
      <c r="I36" t="s">
        <v>66</v>
      </c>
      <c r="J36" t="s">
        <v>37</v>
      </c>
      <c r="K36">
        <v>1</v>
      </c>
      <c r="L36">
        <v>8</v>
      </c>
      <c r="M36" t="s">
        <v>30</v>
      </c>
      <c r="O36" t="s">
        <v>88</v>
      </c>
      <c r="P36" t="s">
        <v>89</v>
      </c>
      <c r="Q36" t="s">
        <v>25</v>
      </c>
      <c r="R36">
        <v>5</v>
      </c>
      <c r="S36">
        <v>1</v>
      </c>
      <c r="T36" t="s">
        <v>26</v>
      </c>
    </row>
    <row r="37" spans="1:20" x14ac:dyDescent="0.25">
      <c r="A37">
        <v>3</v>
      </c>
      <c r="B37">
        <v>6</v>
      </c>
      <c r="C37" t="s">
        <v>94</v>
      </c>
      <c r="D37" t="s">
        <v>21</v>
      </c>
      <c r="E37" t="s">
        <v>50</v>
      </c>
      <c r="F37" t="s">
        <v>32</v>
      </c>
      <c r="H37" t="s">
        <v>71</v>
      </c>
      <c r="I37" t="s">
        <v>72</v>
      </c>
      <c r="J37" t="s">
        <v>25</v>
      </c>
      <c r="K37">
        <v>3</v>
      </c>
      <c r="L37">
        <v>6</v>
      </c>
      <c r="M37" t="s">
        <v>26</v>
      </c>
      <c r="O37" t="s">
        <v>80</v>
      </c>
      <c r="P37" t="s">
        <v>81</v>
      </c>
      <c r="Q37" t="s">
        <v>25</v>
      </c>
      <c r="R37">
        <v>6</v>
      </c>
      <c r="S37">
        <v>3</v>
      </c>
      <c r="T37" t="s">
        <v>30</v>
      </c>
    </row>
    <row r="38" spans="1:20" x14ac:dyDescent="0.25">
      <c r="A38">
        <v>3</v>
      </c>
      <c r="B38">
        <v>6</v>
      </c>
      <c r="C38" t="s">
        <v>94</v>
      </c>
      <c r="D38" t="s">
        <v>21</v>
      </c>
      <c r="E38" t="s">
        <v>50</v>
      </c>
      <c r="F38" t="s">
        <v>32</v>
      </c>
      <c r="H38" t="s">
        <v>74</v>
      </c>
      <c r="I38" t="s">
        <v>75</v>
      </c>
      <c r="J38" t="s">
        <v>29</v>
      </c>
      <c r="K38">
        <v>0</v>
      </c>
      <c r="L38">
        <v>8</v>
      </c>
      <c r="M38" t="s">
        <v>30</v>
      </c>
      <c r="O38" t="s">
        <v>51</v>
      </c>
      <c r="P38" t="s">
        <v>52</v>
      </c>
      <c r="Q38" t="s">
        <v>29</v>
      </c>
      <c r="R38">
        <v>3</v>
      </c>
      <c r="S38">
        <v>1</v>
      </c>
      <c r="T38" t="s">
        <v>26</v>
      </c>
    </row>
    <row r="39" spans="1:20" x14ac:dyDescent="0.25">
      <c r="A39">
        <v>3</v>
      </c>
      <c r="B39">
        <v>9</v>
      </c>
      <c r="C39" t="s">
        <v>93</v>
      </c>
      <c r="D39" t="s">
        <v>21</v>
      </c>
      <c r="E39" t="s">
        <v>50</v>
      </c>
      <c r="F39" t="s">
        <v>32</v>
      </c>
      <c r="H39" t="s">
        <v>35</v>
      </c>
      <c r="I39" t="s">
        <v>36</v>
      </c>
      <c r="J39" t="s">
        <v>37</v>
      </c>
      <c r="K39">
        <v>3</v>
      </c>
      <c r="L39">
        <v>6</v>
      </c>
      <c r="M39" t="s">
        <v>30</v>
      </c>
      <c r="O39" t="s">
        <v>84</v>
      </c>
      <c r="P39" t="s">
        <v>85</v>
      </c>
      <c r="Q39" t="s">
        <v>29</v>
      </c>
      <c r="R39">
        <v>4</v>
      </c>
      <c r="S39">
        <v>3</v>
      </c>
      <c r="T39" t="s">
        <v>26</v>
      </c>
    </row>
    <row r="40" spans="1:20" x14ac:dyDescent="0.25">
      <c r="A40">
        <v>2</v>
      </c>
      <c r="B40">
        <v>5</v>
      </c>
      <c r="C40" t="s">
        <v>95</v>
      </c>
      <c r="D40" t="s">
        <v>32</v>
      </c>
      <c r="E40" t="s">
        <v>33</v>
      </c>
      <c r="F40" t="s">
        <v>34</v>
      </c>
      <c r="H40" t="s">
        <v>62</v>
      </c>
      <c r="I40" t="s">
        <v>63</v>
      </c>
      <c r="J40" t="s">
        <v>29</v>
      </c>
      <c r="K40">
        <v>1</v>
      </c>
      <c r="L40">
        <v>1</v>
      </c>
      <c r="M40" t="s">
        <v>26</v>
      </c>
      <c r="O40" t="s">
        <v>35</v>
      </c>
      <c r="P40" t="s">
        <v>36</v>
      </c>
      <c r="Q40" t="s">
        <v>37</v>
      </c>
      <c r="R40">
        <v>1</v>
      </c>
      <c r="S40">
        <v>1</v>
      </c>
      <c r="T40" t="s">
        <v>30</v>
      </c>
    </row>
    <row r="41" spans="1:20" x14ac:dyDescent="0.25">
      <c r="A41">
        <v>2</v>
      </c>
      <c r="B41">
        <v>4</v>
      </c>
      <c r="C41" t="s">
        <v>95</v>
      </c>
      <c r="D41" t="s">
        <v>32</v>
      </c>
      <c r="E41" t="s">
        <v>33</v>
      </c>
      <c r="F41" t="s">
        <v>34</v>
      </c>
      <c r="H41" t="s">
        <v>48</v>
      </c>
      <c r="I41" t="s">
        <v>49</v>
      </c>
      <c r="J41" t="s">
        <v>29</v>
      </c>
      <c r="K41">
        <v>4</v>
      </c>
      <c r="L41">
        <v>3</v>
      </c>
      <c r="M41" t="s">
        <v>26</v>
      </c>
      <c r="O41" t="s">
        <v>60</v>
      </c>
      <c r="P41" t="s">
        <v>61</v>
      </c>
      <c r="Q41" t="s">
        <v>37</v>
      </c>
      <c r="R41">
        <v>3</v>
      </c>
      <c r="S41">
        <v>3</v>
      </c>
      <c r="T41" t="s">
        <v>30</v>
      </c>
    </row>
    <row r="42" spans="1:20" x14ac:dyDescent="0.25">
      <c r="A42">
        <v>2</v>
      </c>
      <c r="B42">
        <v>6</v>
      </c>
      <c r="C42" t="s">
        <v>95</v>
      </c>
      <c r="D42" t="s">
        <v>32</v>
      </c>
      <c r="E42" t="s">
        <v>22</v>
      </c>
      <c r="F42" t="s">
        <v>21</v>
      </c>
      <c r="H42" t="s">
        <v>78</v>
      </c>
      <c r="I42" t="s">
        <v>79</v>
      </c>
      <c r="J42" t="s">
        <v>29</v>
      </c>
      <c r="K42">
        <v>2</v>
      </c>
      <c r="L42">
        <v>2</v>
      </c>
      <c r="M42" t="s">
        <v>26</v>
      </c>
      <c r="O42" t="s">
        <v>38</v>
      </c>
      <c r="P42" t="s">
        <v>39</v>
      </c>
      <c r="Q42" t="s">
        <v>37</v>
      </c>
      <c r="R42">
        <v>2</v>
      </c>
      <c r="S42">
        <v>7</v>
      </c>
      <c r="T42" t="s">
        <v>30</v>
      </c>
    </row>
    <row r="43" spans="1:20" x14ac:dyDescent="0.25">
      <c r="A43">
        <v>2</v>
      </c>
      <c r="B43">
        <v>7</v>
      </c>
      <c r="C43" t="s">
        <v>96</v>
      </c>
      <c r="D43" t="s">
        <v>21</v>
      </c>
      <c r="E43" t="s">
        <v>33</v>
      </c>
      <c r="F43" t="s">
        <v>34</v>
      </c>
      <c r="H43" t="s">
        <v>88</v>
      </c>
      <c r="I43" t="s">
        <v>89</v>
      </c>
      <c r="J43" t="s">
        <v>25</v>
      </c>
      <c r="K43">
        <v>7</v>
      </c>
      <c r="L43">
        <v>3</v>
      </c>
      <c r="M43" t="s">
        <v>26</v>
      </c>
      <c r="O43" t="s">
        <v>69</v>
      </c>
      <c r="P43" t="s">
        <v>70</v>
      </c>
      <c r="Q43" t="s">
        <v>29</v>
      </c>
      <c r="R43">
        <v>4</v>
      </c>
      <c r="S43">
        <v>3</v>
      </c>
      <c r="T43" t="s">
        <v>30</v>
      </c>
    </row>
    <row r="44" spans="1:20" x14ac:dyDescent="0.25">
      <c r="A44">
        <v>2</v>
      </c>
      <c r="B44">
        <v>6</v>
      </c>
      <c r="C44" t="s">
        <v>96</v>
      </c>
      <c r="D44" t="s">
        <v>21</v>
      </c>
      <c r="E44" t="s">
        <v>45</v>
      </c>
      <c r="F44" t="s">
        <v>32</v>
      </c>
      <c r="H44" t="s">
        <v>82</v>
      </c>
      <c r="I44" t="s">
        <v>83</v>
      </c>
      <c r="J44" t="s">
        <v>25</v>
      </c>
      <c r="K44">
        <v>4</v>
      </c>
      <c r="L44">
        <v>6</v>
      </c>
      <c r="M44" t="s">
        <v>26</v>
      </c>
      <c r="O44" t="s">
        <v>43</v>
      </c>
      <c r="P44" t="s">
        <v>44</v>
      </c>
      <c r="Q44" t="s">
        <v>29</v>
      </c>
      <c r="R44">
        <v>1</v>
      </c>
      <c r="S44">
        <v>3</v>
      </c>
      <c r="T44" t="s">
        <v>30</v>
      </c>
    </row>
    <row r="45" spans="1:20" x14ac:dyDescent="0.25">
      <c r="A45">
        <v>2</v>
      </c>
      <c r="B45">
        <v>7</v>
      </c>
      <c r="C45" t="s">
        <v>97</v>
      </c>
      <c r="D45" t="s">
        <v>32</v>
      </c>
      <c r="E45" t="s">
        <v>33</v>
      </c>
      <c r="F45" t="s">
        <v>34</v>
      </c>
      <c r="H45" t="s">
        <v>23</v>
      </c>
      <c r="I45" t="s">
        <v>24</v>
      </c>
      <c r="J45" t="s">
        <v>37</v>
      </c>
      <c r="K45">
        <v>0</v>
      </c>
      <c r="L45">
        <v>1</v>
      </c>
      <c r="M45" t="s">
        <v>30</v>
      </c>
      <c r="O45" t="s">
        <v>53</v>
      </c>
      <c r="P45" t="s">
        <v>54</v>
      </c>
      <c r="Q45" t="s">
        <v>37</v>
      </c>
      <c r="R45">
        <v>1</v>
      </c>
      <c r="S45">
        <v>1</v>
      </c>
      <c r="T45" t="s">
        <v>26</v>
      </c>
    </row>
    <row r="46" spans="1:20" x14ac:dyDescent="0.25">
      <c r="A46">
        <v>2</v>
      </c>
      <c r="B46">
        <v>5</v>
      </c>
      <c r="C46" t="s">
        <v>97</v>
      </c>
      <c r="D46" t="s">
        <v>21</v>
      </c>
      <c r="E46" t="s">
        <v>45</v>
      </c>
      <c r="F46" t="s">
        <v>21</v>
      </c>
      <c r="H46" t="s">
        <v>56</v>
      </c>
      <c r="I46" t="s">
        <v>57</v>
      </c>
      <c r="J46" t="s">
        <v>37</v>
      </c>
      <c r="K46">
        <v>4</v>
      </c>
      <c r="L46">
        <v>1</v>
      </c>
      <c r="M46" t="s">
        <v>30</v>
      </c>
      <c r="O46" t="s">
        <v>67</v>
      </c>
      <c r="P46" t="s">
        <v>68</v>
      </c>
      <c r="Q46" t="s">
        <v>37</v>
      </c>
      <c r="R46">
        <v>0</v>
      </c>
      <c r="S46">
        <v>8</v>
      </c>
      <c r="T46" t="s">
        <v>26</v>
      </c>
    </row>
    <row r="47" spans="1:20" x14ac:dyDescent="0.25">
      <c r="A47">
        <v>2</v>
      </c>
      <c r="B47">
        <v>7</v>
      </c>
      <c r="C47" t="s">
        <v>98</v>
      </c>
      <c r="D47" t="s">
        <v>21</v>
      </c>
      <c r="E47" t="s">
        <v>22</v>
      </c>
      <c r="F47" t="s">
        <v>32</v>
      </c>
      <c r="H47" t="s">
        <v>74</v>
      </c>
      <c r="I47" t="s">
        <v>75</v>
      </c>
      <c r="J47" t="s">
        <v>37</v>
      </c>
      <c r="K47">
        <v>3</v>
      </c>
      <c r="L47">
        <v>6</v>
      </c>
      <c r="M47" t="s">
        <v>30</v>
      </c>
      <c r="O47" t="s">
        <v>46</v>
      </c>
      <c r="P47" t="s">
        <v>47</v>
      </c>
      <c r="Q47" t="s">
        <v>25</v>
      </c>
      <c r="R47">
        <v>3</v>
      </c>
      <c r="S47">
        <v>3</v>
      </c>
      <c r="T47" t="s">
        <v>26</v>
      </c>
    </row>
    <row r="48" spans="1:20" x14ac:dyDescent="0.25">
      <c r="A48">
        <v>2</v>
      </c>
      <c r="B48">
        <v>7</v>
      </c>
      <c r="C48" t="s">
        <v>98</v>
      </c>
      <c r="D48" t="s">
        <v>32</v>
      </c>
      <c r="E48" t="s">
        <v>50</v>
      </c>
      <c r="F48" t="s">
        <v>32</v>
      </c>
      <c r="H48" t="s">
        <v>86</v>
      </c>
      <c r="I48" t="s">
        <v>87</v>
      </c>
      <c r="J48" t="s">
        <v>25</v>
      </c>
      <c r="K48">
        <v>2</v>
      </c>
      <c r="L48">
        <v>7</v>
      </c>
      <c r="M48" t="s">
        <v>26</v>
      </c>
      <c r="O48" t="s">
        <v>76</v>
      </c>
      <c r="P48" t="s">
        <v>77</v>
      </c>
      <c r="Q48" t="s">
        <v>37</v>
      </c>
      <c r="R48">
        <v>3</v>
      </c>
      <c r="S48">
        <v>2</v>
      </c>
      <c r="T48" t="s">
        <v>30</v>
      </c>
    </row>
    <row r="49" spans="1:20" x14ac:dyDescent="0.25">
      <c r="A49">
        <v>2</v>
      </c>
      <c r="B49">
        <v>12</v>
      </c>
      <c r="C49" t="s">
        <v>97</v>
      </c>
      <c r="D49" t="s">
        <v>32</v>
      </c>
      <c r="E49" t="s">
        <v>50</v>
      </c>
      <c r="F49" t="s">
        <v>32</v>
      </c>
      <c r="H49" t="s">
        <v>84</v>
      </c>
      <c r="I49" t="s">
        <v>85</v>
      </c>
      <c r="J49" t="s">
        <v>29</v>
      </c>
      <c r="K49">
        <v>3</v>
      </c>
      <c r="L49">
        <v>6</v>
      </c>
      <c r="M49" t="s">
        <v>30</v>
      </c>
      <c r="O49" t="s">
        <v>41</v>
      </c>
      <c r="P49" t="s">
        <v>42</v>
      </c>
      <c r="Q49" t="s">
        <v>29</v>
      </c>
      <c r="R49">
        <v>8</v>
      </c>
      <c r="S49">
        <v>3</v>
      </c>
      <c r="T49" t="s">
        <v>26</v>
      </c>
    </row>
    <row r="50" spans="1:20" x14ac:dyDescent="0.25">
      <c r="A50">
        <v>2</v>
      </c>
      <c r="B50">
        <v>6</v>
      </c>
      <c r="C50" t="s">
        <v>96</v>
      </c>
      <c r="D50" t="s">
        <v>32</v>
      </c>
      <c r="E50" t="s">
        <v>22</v>
      </c>
      <c r="F50" t="s">
        <v>32</v>
      </c>
      <c r="H50" t="s">
        <v>65</v>
      </c>
      <c r="I50" t="s">
        <v>66</v>
      </c>
      <c r="J50" t="s">
        <v>29</v>
      </c>
      <c r="K50">
        <v>1</v>
      </c>
      <c r="L50">
        <v>8</v>
      </c>
      <c r="M50" t="s">
        <v>30</v>
      </c>
      <c r="O50" t="s">
        <v>71</v>
      </c>
      <c r="P50" t="s">
        <v>72</v>
      </c>
      <c r="Q50" t="s">
        <v>25</v>
      </c>
      <c r="R50">
        <v>3</v>
      </c>
      <c r="S50">
        <v>1</v>
      </c>
      <c r="T50" t="s">
        <v>26</v>
      </c>
    </row>
    <row r="51" spans="1:20" x14ac:dyDescent="0.25">
      <c r="A51">
        <v>2</v>
      </c>
      <c r="B51">
        <v>4</v>
      </c>
      <c r="C51" t="s">
        <v>99</v>
      </c>
      <c r="D51" t="s">
        <v>21</v>
      </c>
      <c r="E51" t="s">
        <v>22</v>
      </c>
      <c r="F51" t="s">
        <v>32</v>
      </c>
      <c r="H51" t="s">
        <v>51</v>
      </c>
      <c r="I51" t="s">
        <v>52</v>
      </c>
      <c r="J51" t="s">
        <v>29</v>
      </c>
      <c r="K51">
        <v>2</v>
      </c>
      <c r="L51">
        <v>7</v>
      </c>
      <c r="M51" t="s">
        <v>30</v>
      </c>
      <c r="O51" t="s">
        <v>80</v>
      </c>
      <c r="P51" t="s">
        <v>81</v>
      </c>
      <c r="Q51" t="s">
        <v>25</v>
      </c>
      <c r="R51">
        <v>2</v>
      </c>
      <c r="S51">
        <v>2</v>
      </c>
      <c r="T51" t="s">
        <v>26</v>
      </c>
    </row>
    <row r="52" spans="1:20" x14ac:dyDescent="0.25">
      <c r="A52">
        <v>1</v>
      </c>
      <c r="B52">
        <v>4</v>
      </c>
      <c r="C52" t="s">
        <v>100</v>
      </c>
      <c r="D52" t="s">
        <v>21</v>
      </c>
      <c r="E52" t="s">
        <v>33</v>
      </c>
      <c r="F52" t="s">
        <v>34</v>
      </c>
      <c r="H52" t="s">
        <v>78</v>
      </c>
      <c r="I52" t="s">
        <v>79</v>
      </c>
      <c r="J52" t="s">
        <v>29</v>
      </c>
      <c r="K52">
        <v>0</v>
      </c>
      <c r="L52">
        <v>1</v>
      </c>
      <c r="M52" t="s">
        <v>26</v>
      </c>
      <c r="O52" t="s">
        <v>53</v>
      </c>
      <c r="P52" t="s">
        <v>54</v>
      </c>
      <c r="Q52" t="s">
        <v>37</v>
      </c>
      <c r="R52">
        <v>0</v>
      </c>
      <c r="S52">
        <v>1</v>
      </c>
      <c r="T52" t="s">
        <v>30</v>
      </c>
    </row>
    <row r="53" spans="1:20" x14ac:dyDescent="0.25">
      <c r="A53">
        <v>1</v>
      </c>
      <c r="B53">
        <v>8</v>
      </c>
      <c r="C53" t="s">
        <v>101</v>
      </c>
      <c r="D53" t="s">
        <v>21</v>
      </c>
      <c r="E53" t="s">
        <v>22</v>
      </c>
      <c r="F53" t="s">
        <v>32</v>
      </c>
      <c r="H53" t="s">
        <v>60</v>
      </c>
      <c r="I53" t="s">
        <v>61</v>
      </c>
      <c r="J53" t="s">
        <v>37</v>
      </c>
      <c r="K53">
        <v>3</v>
      </c>
      <c r="L53">
        <v>6</v>
      </c>
      <c r="M53" t="s">
        <v>30</v>
      </c>
      <c r="O53" t="s">
        <v>84</v>
      </c>
      <c r="P53" t="s">
        <v>85</v>
      </c>
      <c r="Q53" t="s">
        <v>25</v>
      </c>
      <c r="R53">
        <v>3</v>
      </c>
      <c r="S53">
        <v>3</v>
      </c>
      <c r="T53" t="s">
        <v>26</v>
      </c>
    </row>
    <row r="54" spans="1:20" x14ac:dyDescent="0.25">
      <c r="A54">
        <v>1</v>
      </c>
      <c r="B54">
        <v>19</v>
      </c>
      <c r="C54" t="s">
        <v>92</v>
      </c>
      <c r="D54" t="s">
        <v>32</v>
      </c>
      <c r="E54" t="s">
        <v>33</v>
      </c>
      <c r="F54" t="s">
        <v>34</v>
      </c>
      <c r="H54" t="s">
        <v>74</v>
      </c>
      <c r="I54" t="s">
        <v>75</v>
      </c>
      <c r="J54" t="s">
        <v>25</v>
      </c>
      <c r="K54">
        <v>3</v>
      </c>
      <c r="L54">
        <v>3</v>
      </c>
      <c r="M54" t="s">
        <v>26</v>
      </c>
      <c r="O54" t="s">
        <v>71</v>
      </c>
      <c r="P54" t="s">
        <v>72</v>
      </c>
      <c r="Q54" t="s">
        <v>25</v>
      </c>
      <c r="R54">
        <v>7</v>
      </c>
      <c r="S54">
        <v>3</v>
      </c>
      <c r="T54" t="s">
        <v>30</v>
      </c>
    </row>
    <row r="55" spans="1:20" x14ac:dyDescent="0.25">
      <c r="A55">
        <v>1</v>
      </c>
      <c r="B55">
        <v>5</v>
      </c>
      <c r="C55" t="s">
        <v>100</v>
      </c>
      <c r="D55" t="s">
        <v>21</v>
      </c>
      <c r="E55" t="s">
        <v>33</v>
      </c>
      <c r="F55" t="s">
        <v>34</v>
      </c>
      <c r="H55" t="s">
        <v>80</v>
      </c>
      <c r="I55" t="s">
        <v>81</v>
      </c>
      <c r="J55" t="s">
        <v>29</v>
      </c>
      <c r="K55">
        <v>2</v>
      </c>
      <c r="L55">
        <v>1</v>
      </c>
      <c r="M55" t="s">
        <v>26</v>
      </c>
      <c r="O55" t="s">
        <v>46</v>
      </c>
      <c r="P55" t="s">
        <v>47</v>
      </c>
      <c r="Q55" t="s">
        <v>37</v>
      </c>
      <c r="R55">
        <v>0</v>
      </c>
      <c r="S55">
        <v>2</v>
      </c>
      <c r="T55" t="s">
        <v>30</v>
      </c>
    </row>
    <row r="56" spans="1:20" x14ac:dyDescent="0.25">
      <c r="A56">
        <v>1</v>
      </c>
      <c r="B56">
        <v>7</v>
      </c>
      <c r="C56" t="s">
        <v>101</v>
      </c>
      <c r="D56" t="s">
        <v>21</v>
      </c>
      <c r="E56" t="s">
        <v>22</v>
      </c>
      <c r="F56" t="s">
        <v>32</v>
      </c>
      <c r="H56" t="s">
        <v>65</v>
      </c>
      <c r="I56" t="s">
        <v>66</v>
      </c>
      <c r="J56" t="s">
        <v>29</v>
      </c>
      <c r="K56">
        <v>3</v>
      </c>
      <c r="L56">
        <v>6</v>
      </c>
      <c r="M56" t="s">
        <v>30</v>
      </c>
      <c r="O56" t="s">
        <v>76</v>
      </c>
      <c r="P56" t="s">
        <v>77</v>
      </c>
      <c r="Q56" t="s">
        <v>25</v>
      </c>
      <c r="R56">
        <v>2</v>
      </c>
      <c r="S56">
        <v>3</v>
      </c>
      <c r="T56" t="s">
        <v>26</v>
      </c>
    </row>
    <row r="57" spans="1:20" x14ac:dyDescent="0.25">
      <c r="A57">
        <v>1</v>
      </c>
      <c r="B57">
        <v>7</v>
      </c>
      <c r="C57" t="s">
        <v>92</v>
      </c>
      <c r="D57" t="s">
        <v>32</v>
      </c>
      <c r="E57" t="s">
        <v>45</v>
      </c>
      <c r="F57" t="s">
        <v>32</v>
      </c>
      <c r="H57" t="s">
        <v>86</v>
      </c>
      <c r="I57" t="s">
        <v>87</v>
      </c>
      <c r="J57" t="s">
        <v>25</v>
      </c>
      <c r="K57">
        <v>4</v>
      </c>
      <c r="L57">
        <v>6</v>
      </c>
      <c r="M57" t="s">
        <v>30</v>
      </c>
      <c r="O57" t="s">
        <v>41</v>
      </c>
      <c r="P57" t="s">
        <v>42</v>
      </c>
      <c r="Q57" t="s">
        <v>25</v>
      </c>
      <c r="R57">
        <v>6</v>
      </c>
      <c r="S57">
        <v>3</v>
      </c>
      <c r="T57" t="s">
        <v>26</v>
      </c>
    </row>
    <row r="58" spans="1:20" x14ac:dyDescent="0.25">
      <c r="A58">
        <v>1</v>
      </c>
      <c r="B58">
        <v>5</v>
      </c>
      <c r="C58" t="s">
        <v>100</v>
      </c>
      <c r="D58" t="s">
        <v>32</v>
      </c>
      <c r="E58" t="s">
        <v>45</v>
      </c>
      <c r="F58" t="s">
        <v>21</v>
      </c>
      <c r="H58" t="s">
        <v>23</v>
      </c>
      <c r="I58" t="s">
        <v>24</v>
      </c>
      <c r="J58" t="s">
        <v>37</v>
      </c>
      <c r="K58">
        <v>4</v>
      </c>
      <c r="L58">
        <v>1</v>
      </c>
      <c r="M58" t="s">
        <v>30</v>
      </c>
      <c r="O58" t="s">
        <v>48</v>
      </c>
      <c r="P58" t="s">
        <v>49</v>
      </c>
      <c r="Q58" t="s">
        <v>29</v>
      </c>
      <c r="R58">
        <v>1</v>
      </c>
      <c r="S58">
        <v>8</v>
      </c>
      <c r="T58" t="s">
        <v>26</v>
      </c>
    </row>
    <row r="59" spans="1:20" x14ac:dyDescent="0.25">
      <c r="A59">
        <v>1</v>
      </c>
      <c r="B59">
        <v>3</v>
      </c>
      <c r="C59" t="s">
        <v>92</v>
      </c>
      <c r="D59" t="s">
        <v>21</v>
      </c>
      <c r="E59" t="s">
        <v>33</v>
      </c>
      <c r="F59" t="s">
        <v>34</v>
      </c>
      <c r="H59" t="s">
        <v>27</v>
      </c>
      <c r="I59" t="s">
        <v>28</v>
      </c>
      <c r="J59" t="s">
        <v>37</v>
      </c>
      <c r="K59">
        <v>0</v>
      </c>
      <c r="L59">
        <v>1</v>
      </c>
      <c r="M59" t="s">
        <v>30</v>
      </c>
      <c r="O59" t="s">
        <v>38</v>
      </c>
      <c r="P59" t="s">
        <v>39</v>
      </c>
      <c r="Q59" t="s">
        <v>37</v>
      </c>
      <c r="R59">
        <v>1</v>
      </c>
      <c r="S59">
        <v>1</v>
      </c>
      <c r="T59" t="s">
        <v>26</v>
      </c>
    </row>
    <row r="60" spans="1:20" x14ac:dyDescent="0.25">
      <c r="A60">
        <v>1</v>
      </c>
      <c r="B60">
        <v>5</v>
      </c>
      <c r="C60" t="s">
        <v>101</v>
      </c>
      <c r="D60" t="s">
        <v>21</v>
      </c>
      <c r="E60" t="s">
        <v>45</v>
      </c>
      <c r="F60" t="s">
        <v>21</v>
      </c>
      <c r="H60" t="s">
        <v>43</v>
      </c>
      <c r="I60" t="s">
        <v>44</v>
      </c>
      <c r="J60" t="s">
        <v>29</v>
      </c>
      <c r="K60">
        <v>2</v>
      </c>
      <c r="L60">
        <v>1</v>
      </c>
      <c r="M60" t="s">
        <v>30</v>
      </c>
      <c r="O60" t="s">
        <v>62</v>
      </c>
      <c r="P60" t="s">
        <v>63</v>
      </c>
      <c r="Q60" t="s">
        <v>25</v>
      </c>
      <c r="R60">
        <v>1</v>
      </c>
      <c r="S60">
        <v>8</v>
      </c>
      <c r="T60" t="s">
        <v>26</v>
      </c>
    </row>
    <row r="61" spans="1:20" x14ac:dyDescent="0.25">
      <c r="A61">
        <v>1</v>
      </c>
      <c r="B61">
        <v>5</v>
      </c>
      <c r="C61" t="s">
        <v>92</v>
      </c>
      <c r="D61" t="s">
        <v>32</v>
      </c>
      <c r="E61" t="s">
        <v>50</v>
      </c>
      <c r="F61" t="s">
        <v>21</v>
      </c>
      <c r="H61" t="s">
        <v>67</v>
      </c>
      <c r="I61" t="s">
        <v>68</v>
      </c>
      <c r="J61" t="s">
        <v>37</v>
      </c>
      <c r="K61">
        <v>4</v>
      </c>
      <c r="L61">
        <v>1</v>
      </c>
      <c r="M61" t="s">
        <v>26</v>
      </c>
      <c r="O61" t="s">
        <v>35</v>
      </c>
      <c r="P61" t="s">
        <v>36</v>
      </c>
      <c r="Q61" t="s">
        <v>37</v>
      </c>
      <c r="R61">
        <v>1</v>
      </c>
      <c r="S61">
        <v>8</v>
      </c>
      <c r="T61" t="s">
        <v>30</v>
      </c>
    </row>
    <row r="62" spans="1:20" x14ac:dyDescent="0.25">
      <c r="A62">
        <v>1</v>
      </c>
      <c r="B62">
        <v>7</v>
      </c>
      <c r="C62" t="s">
        <v>101</v>
      </c>
      <c r="D62" t="s">
        <v>32</v>
      </c>
      <c r="E62" t="s">
        <v>50</v>
      </c>
      <c r="F62" t="s">
        <v>21</v>
      </c>
      <c r="H62" t="s">
        <v>51</v>
      </c>
      <c r="I62" t="s">
        <v>52</v>
      </c>
      <c r="J62" t="s">
        <v>25</v>
      </c>
      <c r="K62">
        <v>5</v>
      </c>
      <c r="L62">
        <v>1</v>
      </c>
      <c r="M62" t="s">
        <v>26</v>
      </c>
      <c r="O62" t="s">
        <v>69</v>
      </c>
      <c r="P62" t="s">
        <v>70</v>
      </c>
      <c r="Q62" t="s">
        <v>29</v>
      </c>
      <c r="R62">
        <v>0</v>
      </c>
      <c r="S62">
        <v>8</v>
      </c>
      <c r="T62" t="s">
        <v>30</v>
      </c>
    </row>
    <row r="63" spans="1:20" x14ac:dyDescent="0.25">
      <c r="A63">
        <v>1</v>
      </c>
      <c r="B63">
        <v>4</v>
      </c>
      <c r="C63" t="s">
        <v>31</v>
      </c>
      <c r="D63" t="s">
        <v>32</v>
      </c>
      <c r="E63" t="s">
        <v>45</v>
      </c>
      <c r="F63" t="s">
        <v>21</v>
      </c>
      <c r="H63" t="s">
        <v>56</v>
      </c>
      <c r="I63" t="s">
        <v>57</v>
      </c>
      <c r="J63" t="s">
        <v>37</v>
      </c>
      <c r="K63">
        <v>4</v>
      </c>
      <c r="L63">
        <v>1</v>
      </c>
      <c r="M63" t="s">
        <v>26</v>
      </c>
      <c r="O63" t="s">
        <v>88</v>
      </c>
      <c r="P63" t="s">
        <v>89</v>
      </c>
      <c r="Q63" t="s">
        <v>37</v>
      </c>
      <c r="R63">
        <v>1</v>
      </c>
      <c r="S63">
        <v>8</v>
      </c>
      <c r="T63" t="s">
        <v>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5D8C-36A0-434D-99B7-98EBBAEDD600}">
  <dimension ref="A1:AC7"/>
  <sheetViews>
    <sheetView workbookViewId="0">
      <selection activeCell="J10" sqref="J10"/>
    </sheetView>
  </sheetViews>
  <sheetFormatPr defaultRowHeight="15" x14ac:dyDescent="0.25"/>
  <cols>
    <col min="1" max="1" width="34.140625" bestFit="1" customWidth="1"/>
    <col min="2" max="2" width="12.7109375" bestFit="1" customWidth="1"/>
    <col min="3" max="3" width="13" bestFit="1" customWidth="1"/>
    <col min="4" max="5" width="12" bestFit="1" customWidth="1"/>
    <col min="6" max="6" width="12.28515625" bestFit="1" customWidth="1"/>
    <col min="7" max="7" width="19.85546875" bestFit="1" customWidth="1"/>
    <col min="8" max="8" width="16.42578125" bestFit="1" customWidth="1"/>
    <col min="9" max="9" width="18.140625" bestFit="1" customWidth="1"/>
    <col min="10" max="10" width="20" bestFit="1" customWidth="1"/>
    <col min="11" max="11" width="15.85546875" bestFit="1" customWidth="1"/>
    <col min="12" max="12" width="21.7109375" bestFit="1" customWidth="1"/>
    <col min="13" max="13" width="18" bestFit="1" customWidth="1"/>
    <col min="14" max="14" width="12.5703125" bestFit="1" customWidth="1"/>
    <col min="15" max="15" width="25.28515625" bestFit="1" customWidth="1"/>
    <col min="16" max="16" width="28.42578125" bestFit="1" customWidth="1"/>
    <col min="17" max="17" width="25.85546875" bestFit="1" customWidth="1"/>
    <col min="18" max="18" width="12.5703125" bestFit="1" customWidth="1"/>
    <col min="19" max="19" width="25.28515625" bestFit="1" customWidth="1"/>
    <col min="20" max="20" width="28.42578125" bestFit="1" customWidth="1"/>
    <col min="21" max="21" width="25.85546875" bestFit="1" customWidth="1"/>
    <col min="22" max="22" width="12.5703125" bestFit="1" customWidth="1"/>
    <col min="23" max="23" width="25.28515625" bestFit="1" customWidth="1"/>
    <col min="24" max="24" width="28.42578125" bestFit="1" customWidth="1"/>
    <col min="25" max="25" width="25.85546875" bestFit="1" customWidth="1"/>
    <col min="26" max="26" width="12.5703125" bestFit="1" customWidth="1"/>
    <col min="27" max="27" width="25.28515625" bestFit="1" customWidth="1"/>
    <col min="28" max="28" width="28.42578125" bestFit="1" customWidth="1"/>
    <col min="29" max="29" width="25.85546875" bestFit="1" customWidth="1"/>
  </cols>
  <sheetData>
    <row r="1" spans="1:29" ht="16.5" thickBot="1" x14ac:dyDescent="0.3">
      <c r="A1" s="110" t="s">
        <v>240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/>
      <c r="N1" s="107" t="s">
        <v>241</v>
      </c>
      <c r="O1" s="108"/>
      <c r="P1" s="108"/>
      <c r="Q1" s="109"/>
      <c r="R1" s="104" t="s">
        <v>246</v>
      </c>
      <c r="S1" s="105"/>
      <c r="T1" s="105"/>
      <c r="U1" s="106"/>
      <c r="V1" s="101" t="s">
        <v>247</v>
      </c>
      <c r="W1" s="102"/>
      <c r="X1" s="102"/>
      <c r="Y1" s="103"/>
      <c r="Z1" s="98" t="s">
        <v>248</v>
      </c>
      <c r="AA1" s="99"/>
      <c r="AB1" s="99"/>
      <c r="AC1" s="100"/>
    </row>
    <row r="2" spans="1:29" ht="16.5" thickBot="1" x14ac:dyDescent="0.3">
      <c r="A2" s="4" t="s">
        <v>190</v>
      </c>
      <c r="B2" s="5" t="s">
        <v>191</v>
      </c>
      <c r="C2" s="5" t="s">
        <v>180</v>
      </c>
      <c r="D2" s="5" t="s">
        <v>227</v>
      </c>
      <c r="E2" s="5" t="s">
        <v>242</v>
      </c>
      <c r="F2" s="5" t="s">
        <v>230</v>
      </c>
      <c r="G2" s="5" t="s">
        <v>184</v>
      </c>
      <c r="H2" s="5" t="s">
        <v>182</v>
      </c>
      <c r="I2" s="5" t="s">
        <v>183</v>
      </c>
      <c r="J2" s="5" t="s">
        <v>176</v>
      </c>
      <c r="K2" s="5" t="s">
        <v>249</v>
      </c>
      <c r="L2" s="5" t="s">
        <v>250</v>
      </c>
      <c r="M2" s="27" t="s">
        <v>251</v>
      </c>
      <c r="N2" s="26" t="s">
        <v>227</v>
      </c>
      <c r="O2" s="5" t="s">
        <v>243</v>
      </c>
      <c r="P2" s="5" t="s">
        <v>244</v>
      </c>
      <c r="Q2" s="27" t="s">
        <v>245</v>
      </c>
      <c r="R2" s="26" t="s">
        <v>227</v>
      </c>
      <c r="S2" s="5" t="s">
        <v>243</v>
      </c>
      <c r="T2" s="5" t="s">
        <v>244</v>
      </c>
      <c r="U2" s="27" t="s">
        <v>245</v>
      </c>
      <c r="V2" s="26" t="s">
        <v>227</v>
      </c>
      <c r="W2" s="5" t="s">
        <v>243</v>
      </c>
      <c r="X2" s="5" t="s">
        <v>244</v>
      </c>
      <c r="Y2" s="27" t="s">
        <v>245</v>
      </c>
      <c r="Z2" s="26" t="s">
        <v>227</v>
      </c>
      <c r="AA2" s="5" t="s">
        <v>243</v>
      </c>
      <c r="AB2" s="5" t="s">
        <v>244</v>
      </c>
      <c r="AC2" s="6" t="s">
        <v>245</v>
      </c>
    </row>
    <row r="3" spans="1:29" x14ac:dyDescent="0.25">
      <c r="A3" s="70" t="s">
        <v>110</v>
      </c>
      <c r="B3" cm="1">
        <f t="array" ref="B3">SUM(N(type_1=A3),N(type_2=A3))</f>
        <v>1</v>
      </c>
      <c r="C3" cm="1">
        <f t="array" ref="C3">SUM(N(player_type_a=A3),N(player_type_b=A3))</f>
        <v>3</v>
      </c>
      <c r="D3" s="71" cm="1">
        <f t="array" ref="D3">SUM((data_winner="a")*(player_type_a=A3),(data_winner="b")*(player_type_b=A3))/C3</f>
        <v>0.33333333333333331</v>
      </c>
      <c r="E3" s="71" cm="1">
        <f t="array" ref="E3">SUM((data_winner="b")*(player_type_a=A3),(data_winner="a")*(player_type_b=A3))/C3</f>
        <v>0.33333333333333331</v>
      </c>
      <c r="F3" s="71" cm="1">
        <f t="array" ref="F3">SUM((data_winner="none")*(player_type_a=A3),(data_winner="none")*(player_type_b=A3))/C3</f>
        <v>0.33333333333333331</v>
      </c>
      <c r="G3" s="28" cm="1">
        <f t="array" ref="G3">(SUM(data_score_a*N(player_type_a=A3))+SUM(data_score_b*N(player_type_b=A3)))/C3</f>
        <v>4</v>
      </c>
      <c r="H3" s="28" cm="1">
        <f t="array" ref="H3">(SUM(data_units_a*N(player_type_a=A3))+SUM(data_units_b*N(player_type_b=A3)))/C3</f>
        <v>3</v>
      </c>
      <c r="I3" s="28" cm="1">
        <f t="array" ref="I3">(SUM(data_units_a*N(player_type_b=A3))+SUM(data_units_b*N(player_type_a=A3)))/C3</f>
        <v>1.6666666666666667</v>
      </c>
      <c r="J3" s="72">
        <f>I3/H3</f>
        <v>0.55555555555555558</v>
      </c>
      <c r="K3" s="39" t="str" cm="1">
        <f t="array" ref="K3">IF(SUM(N(data_stance_b="attack")*N(player_type_b=A3),N(data_stance_a="attack")*N(player_type_a=A3))=0,"-",SUM(N(data_stance_a="attack")*N(player_type_a=A3)*N(data_winner="a"),N(data_stance_b="attack")*N(player_type_b=A3)*N(data_winner="b"))/SUM(N(data_stance_b="attack")*N(player_type_b=A3),N(data_stance_a="attack")*N(player_type_a=A3)))</f>
        <v>-</v>
      </c>
      <c r="L3" s="39" cm="1">
        <f t="array" ref="L3">IF(SUM(N(data_stance_b="meneuver")*N(player_type_b=A3),N(data_stance_a="maneuver")*N(player_type_a=A3))=0,"-",SUM(N(data_stance_a="maneuver")*N(player_type_a=A3)*N(data_winner="a"),N(data_stance_b="maneuver")*N(player_type_b=A3)*N(data_winner="b"))/SUM(N(data_stance_b="maneuver")*N(player_type_b=A3),N(data_stance_a="maneuver")*N(player_type_a=A3)))</f>
        <v>0.5</v>
      </c>
      <c r="M3" s="40" cm="1">
        <f t="array" ref="M3">IF(SUM(N(data_stance_b="defend")*N(player_type_b=A3),N(data_stance_a="defend")*N(player_type_a=A3))=0,"-",SUM(N(data_stance_a="defend")*N(player_type_a=A3)*N(data_winner="a"),N(data_stance_b="defend")*N(player_type_b=A3)*N(data_winner="b"))/SUM(N(data_stance_b="defend")*N(player_type_b=A3),N(data_stance_a="defend")*N(player_type_a=A3)))</f>
        <v>0</v>
      </c>
      <c r="N3" s="30" cm="1">
        <f t="array" ref="N3">SUM((data_winner="a")*(player_type_a=A3)*(player_type_b="Infantry"),(data_winner="b")*(player_type_b=A3)*(player_type_a="Infantry"))/SUM((player_type_a=A3)*(player_type_b="Infantry"),(player_type_b=A3)*(player_type_a="Infantry"))</f>
        <v>0</v>
      </c>
      <c r="O3" s="71" t="str" cm="1">
        <f t="array" ref="O3">IF(SUM((data_stance_a="attack")*(player_type_a=A3)*(player_type_b="Infantry"),(data_stance_b="attack")*(player_type_b=A3)*(player_type_a="Infantry"))=0,"-",SUM((data_stance_a="attack")*(data_winner="a")*(player_type_a=A3)*(player_type_b="Infantry"),(data_stance_b="attack")*(data_winner="b")*(player_type_b=A3)*(player_type_a="Infantry"))/SUM((data_stance_a="attack")*(player_type_a=A3)*(player_type_b="Infantry"),(data_stance_b="attack")*(player_type_b=A3)*(player_type_a="Infantry")))</f>
        <v>-</v>
      </c>
      <c r="P3" s="71" cm="1">
        <f t="array" ref="P3">IF(SUM((data_stance_a="maneuver")*(player_type_a=A3)*(player_type_b="Infantry"),(data_stance_b="maneuver")*(player_type_b=A3)*(player_type_a="Infantry"))=0,"-",SUM((data_stance_a="maneuver")*(data_winner="a")*(player_type_a=A3)*(player_type_b="Infantry"),(data_stance_b="maneuver")*(data_winner="b")*(player_type_b=A3)*(player_type_a="Infantry"))/SUM((data_stance_a="maneuver")*(player_type_a=A3)*(player_type_b="Infantry"),(data_stance_b="maneuver")*(player_type_b=A3)*(player_type_a="Infantry")))</f>
        <v>0</v>
      </c>
      <c r="Q3" s="32" t="str" cm="1">
        <f t="array" ref="Q3">IF(SUM((data_stance_a="defend")*(player_type_a=A3)*(player_type_b="Infantry"),(data_stance_b="defend")*(player_type_b=A3)*(player_type_a="Infantry"))=0,"-",SUM((data_stance_a="defend")*(data_winner="a")*(player_type_a=A3)*(player_type_b="Infantry"),(data_stance_b="defend")*(data_winner="b")*(player_type_b=A3)*(player_type_a="Infantry"))/SUM((data_stance_a="defend")*(player_type_a=A3)*(player_type_b="Infantry"),(data_stance_b="defend")*(player_type_b=A3)*(player_type_a="Infantry")))</f>
        <v>-</v>
      </c>
      <c r="R3" s="30" cm="1">
        <f t="array" ref="R3">SUM((data_winner="a")*(player_type_a=A3)*(player_type_b="Tank"),(data_winner="b")*(player_type_b=A3)*(player_type_a="Tank"))/SUM((player_type_a=A3)*(player_type_b="Tank"),(player_type_b=A3)*(player_type_a="Tank"))</f>
        <v>1</v>
      </c>
      <c r="S3" s="71" t="str" cm="1">
        <f t="array" ref="S3">IF(SUM((data_stance_a="attack")*(player_type_a=A3)*(player_type_b="Tank"),(data_stance_b="attack")*(player_type_b=A3)*(player_type_a="Tank"))=0,"-",SUM((data_stance_a="attack")*(data_winner="a")*(player_type_a=A3)*(player_type_b="Tank"),(data_stance_b="attack")*(data_winner="b")*(player_type_b=A3)*(player_type_a="Tank"))/SUM((data_stance_a="attack")*(player_type_a=A3)*(player_type_b="Tank"),(data_stance_b="attack")*(player_type_b=A3)*(player_type_a="Tank")))</f>
        <v>-</v>
      </c>
      <c r="T3" s="71" cm="1">
        <f t="array" ref="T3">IF(SUM((data_stance_a="maneuver")*(player_type_a=A3)*(player_type_b="Tank"),(data_stance_b="maneuver")*(player_type_b=A3)*(player_type_a="Tank"))=0,"-",SUM((data_stance_a="maneuver")*(data_winner="a")*(player_type_a=A3)*(player_type_b="Tank"),(data_stance_b="maneuver")*(data_winner="b")*(player_type_b=A3)*(player_type_a="Tank"))/SUM((data_stance_a="maneuver")*(player_type_a=A3)*(player_type_b="Tank"),(data_stance_b="maneuver")*(player_type_b=A3)*(player_type_a="Tank")))</f>
        <v>1</v>
      </c>
      <c r="U3" s="32" t="str" cm="1">
        <f t="array" ref="U3">IF(SUM((data_stance_a="defend")*(player_type_a=A3)*(player_type_b="Tank"),(data_stance_b="defend")*(player_type_b=A3)*(player_type_a="Tank"))=0,"-",SUM((data_stance_a="defend")*(data_winner="a")*(player_type_a=A3)*(player_type_b="Tank"),(data_stance_b="defend")*(data_winner="b")*(player_type_b=A3)*(player_type_a="Tank"))/SUM((data_stance_a="defend")*(player_type_a=A3)*(player_type_b="Tank"),(data_stance_b="defend")*(player_type_b=A3)*(player_type_a="Tank")))</f>
        <v>-</v>
      </c>
      <c r="V3" s="30" t="str" cm="1">
        <f t="array" ref="V3">IF(SUM((player_type_a=A3)*(player_type_b="Mechanised Infantry"),(player_type_b=A3)*(player_type_a="Mechanised Infantry"))=0,"-",SUM((data_winner="a")*(player_type_a=A3)*(player_type_b="Mechanised Infantry"),(data_winner="b")*(player_type_b=A3)*(player_type_a="Mechanised Infantry"))/SUM((player_type_a=A3)*(player_type_b="Mechanised Infantry"),(player_type_b=A3)*(player_type_a="Mechanised Infantry")))</f>
        <v>-</v>
      </c>
      <c r="W3" s="71" t="str" cm="1">
        <f t="array" ref="W3">IF(SUM((data_stance_a="attack")*(player_type_a=A3)*(player_type_b="Mechanised Infantry"),(data_stance_b="attack")*(player_type_b=A3)*(player_type_a="Mechanised Infantry"))=0,"-",SUM((data_stance_a="attack")*(data_winner="a")*(player_type_a=A3)*(player_type_b="Mechanised Infantry"),(data_stance_b="attack")*(data_winner="b")*(player_type_b=A3)*(player_type_a="Mechanised Infantry"))/SUM((data_stance_a="attack")*(player_type_a=A3)*(player_type_b="Mechanised Infantry"),(data_stance_b="attack")*(player_type_b=A3)*(player_type_a="Mechanised Infantry")))</f>
        <v>-</v>
      </c>
      <c r="X3" s="71" t="str" cm="1">
        <f t="array" ref="X3">IF(SUM((data_stance_a="maneuver")*(player_type_a=A3)*(player_type_b="Mechanised Infantry"),(data_stance_b="maneuver")*(player_type_b=A3)*(player_type_a="Mechanised Infantry"))=0,"-",SUM((data_stance_a="maneuver")*(data_winner="a")*(player_type_a=A3)*(player_type_b="Mechanised Infantry"),(data_stance_b="maneuver")*(data_winner="b")*(player_type_b=A3)*(player_type_a="Mechanised Infantry"))/SUM((data_stance_a="maneuver")*(player_type_a=A3)*(player_type_b="Mechanised Infantry"),(data_stance_b="maneuver")*(player_type_b=A3)*(player_type_a="Mechanised Infantry")))</f>
        <v>-</v>
      </c>
      <c r="Y3" s="32" t="str" cm="1">
        <f t="array" ref="Y3">IF(SUM((data_stance_a="defend")*(player_type_a=A3)*(player_type_b="Mechanised Infantry"),(data_stance_b="defend")*(player_type_b=A3)*(player_type_a="Mechanised Infantry"))=0,"-",SUM((data_stance_a="defend")*(data_winner="a")*(player_type_a=A3)*(player_type_b="Mechanised Infantry"),(data_stance_b="defend")*(data_winner="b")*(player_type_b=A3)*(player_type_a="Mechanised Infantry"))/SUM((data_stance_a="defend")*(player_type_a=A3)*(player_type_b="Mechanised Infantry"),(data_stance_b="defend")*(player_type_b=A3)*(player_type_a="Mechanised Infantry")))</f>
        <v>-</v>
      </c>
      <c r="Z3" s="30" cm="1">
        <f t="array" ref="Z3">IF(SUM((player_type_a=A3)*N(NOT(ISERROR(SEARCH("Combined",player_type_b)))),(player_type_b=A3)*N(NOT(ISERROR(SEARCH("Combined",player_type_a)))))=0,"-",SUM((data_winner="a")*(player_type_a=A3)*N(NOT(ISERROR(SEARCH("Combined",player_type_b)))),(data_winner="b")*(player_type_b=A3)*N(NOT(ISERROR(SEARCH("Combined",player_type_a)))))/SUM((player_type_a=A3)*N(NOT(ISERROR(SEARCH("Combined",player_type_b)))),(player_type_b=A3)*N(NOT(ISERROR(SEARCH("Combined",player_type_a))))))</f>
        <v>0</v>
      </c>
      <c r="AA3" s="71" t="str" cm="1">
        <f t="array" ref="AA3">IF(SUM((data_stance_a="attack")*(player_type_a=A3)*N(NOT(ISERROR(SEARCH("Combined",player_type_b)))),(data_stance_b="attack")*(player_type_b=A3)*N(NOT(ISERROR(SEARCH("Combined",player_type_a)))))=0,"-",SUM((data_stance_a="attack")*(data_winner="a")*(player_type_a=A3)*N(NOT(ISERROR(SEARCH("Combined",player_type_b)))),(data_stance_b="attack")*(data_winner="b")*(player_type_b=A3)*N(NOT(ISERROR(SEARCH("Combined",player_type_a)))))/SUM((data_stance_a="attack")*(player_type_a=A3)*N(NOT(ISERROR(SEARCH("Combined",player_type_b)))),(data_stance_b="attack")*(player_type_b=A3)*N(NOT(ISERROR(SEARCH("Combined",player_type_a))))))</f>
        <v>-</v>
      </c>
      <c r="AB3" s="71" t="str" cm="1">
        <f t="array" ref="AB3">IF(SUM((data_stance_a="maneuver")*(player_type_a=A3)*N(NOT(ISERROR(SEARCH("Combined",player_type_b)))),(data_stance_b="maneuver")*(player_type_b=A3)*N(NOT(ISERROR(SEARCH("Combined",player_type_a)))))=0,"-",SUM((data_stance_a="maneuver")*(data_winner="a")*(player_type_a=A3)*N(NOT(ISERROR(SEARCH("Combined",player_type_b)))),(data_stance_b="maneuver")*(data_winner="b")*(player_type_b=A3)*N(NOT(ISERROR(SEARCH("Combined",player_type_a)))))/SUM((data_stance_a="maneuver")*(player_type_a=A3)*N(NOT(ISERROR(SEARCH("Combined",player_type_b)))),(data_stance_b="maneuver")*(player_type_b=A3)*N(NOT(ISERROR(SEARCH("Combined",player_type_a))))))</f>
        <v>-</v>
      </c>
      <c r="AC3" s="32" cm="1">
        <f t="array" ref="AC3">IF(SUM((data_stance_a="defend")*(player_type_a=A3)*N(NOT(ISERROR(SEARCH("Combined",player_type_b)))),(data_stance_b="defend")*(player_type_b=A3)*N(NOT(ISERROR(SEARCH("Combined",player_type_a)))))=0,"-",SUM((data_stance_a="defend")*(data_winner="a")*(player_type_a=A3)*N(NOT(ISERROR(SEARCH("Combined",player_type_b)))),(data_stance_b="defend")*(data_winner="b")*(player_type_b=A3)*N(NOT(ISERROR(SEARCH("Combined",player_type_a)))))/SUM((data_stance_a="defend")*(player_type_a=A3)*N(NOT(ISERROR(SEARCH("Combined",player_type_b)))),(data_stance_b="defend")*(player_type_b=A3)*N(NOT(ISERROR(SEARCH("Combined",player_type_a))))))</f>
        <v>0</v>
      </c>
    </row>
    <row r="4" spans="1:29" x14ac:dyDescent="0.25">
      <c r="A4" s="74" t="s">
        <v>123</v>
      </c>
      <c r="B4" cm="1">
        <f t="array" ref="B4">SUM(N(type_1=A4),N(type_2=A4))</f>
        <v>3</v>
      </c>
      <c r="C4" cm="1">
        <f t="array" ref="C4">SUM(N(player_type_a=A4),N(player_type_b=A4))</f>
        <v>11</v>
      </c>
      <c r="D4" s="31" cm="1">
        <f t="array" ref="D4">SUM((data_winner="a")*(player_type_a=A4),(data_winner="b")*(player_type_b=A4))/C4</f>
        <v>0.45454545454545453</v>
      </c>
      <c r="E4" s="31" cm="1">
        <f t="array" ref="E4">SUM((data_winner="b")*(player_type_a=A4),(data_winner="a")*(player_type_b=A4))/C4</f>
        <v>0.36363636363636365</v>
      </c>
      <c r="F4" s="31" cm="1">
        <f t="array" ref="F4">SUM((data_winner="none")*(player_type_a=A4),(data_winner="none")*(player_type_b=A4))/C4</f>
        <v>0.18181818181818182</v>
      </c>
      <c r="G4" s="28" cm="1">
        <f t="array" ref="G4">(SUM(data_score_a*N(player_type_a=A4))+SUM(data_score_b*N(player_type_b=A4)))/C4</f>
        <v>4.2727272727272725</v>
      </c>
      <c r="H4" s="28" cm="1">
        <f t="array" ref="H4">(SUM(data_units_a*N(player_type_a=A4))+SUM(data_units_b*N(player_type_b=A4)))/C4</f>
        <v>2.9090909090909092</v>
      </c>
      <c r="I4" s="28" cm="1">
        <f t="array" ref="I4">(SUM(data_units_a*N(player_type_b=A4))+SUM(data_units_b*N(player_type_a=A4)))/C4</f>
        <v>3.0909090909090908</v>
      </c>
      <c r="J4" s="72">
        <f>I4/H4</f>
        <v>1.0625</v>
      </c>
      <c r="K4" s="39" cm="1">
        <f t="array" ref="K4">IF(SUM(N(data_stance_b="attack")*N(player_type_b=A4),N(data_stance_a="attack")*N(player_type_a=A4))=0,"-",SUM(N(data_stance_a="attack")*N(player_type_a=A4)*N(data_winner="a"),N(data_stance_b="attack")*N(player_type_b=A4)*N(data_winner="b"))/SUM(N(data_stance_b="attack")*N(player_type_b=A4),N(data_stance_a="attack")*N(player_type_a=A4)))</f>
        <v>0.25</v>
      </c>
      <c r="L4" s="39" cm="1">
        <f t="array" ref="L4">IF(SUM(N(data_stance_b="meneuver")*N(player_type_b=A4),N(data_stance_a="maneuver")*N(player_type_a=A4))=0,"-",SUM(N(data_stance_a="maneuver")*N(player_type_a=A4)*N(data_winner="a"),N(data_stance_b="maneuver")*N(player_type_b=A4)*N(data_winner="b"))/SUM(N(data_stance_b="maneuver")*N(player_type_b=A4),N(data_stance_a="maneuver")*N(player_type_a=A4)))</f>
        <v>0.66666666666666663</v>
      </c>
      <c r="M4" s="40" cm="1">
        <f t="array" ref="M4">IF(SUM(N(data_stance_b="defend")*N(player_type_b=A4),N(data_stance_a="defend")*N(player_type_a=A4))=0,"-",SUM(N(data_stance_a="defend")*N(player_type_a=A4)*N(data_winner="a"),N(data_stance_b="defend")*N(player_type_b=A4)*N(data_winner="b"))/SUM(N(data_stance_b="defend")*N(player_type_b=A4),N(data_stance_a="defend")*N(player_type_a=A4)))</f>
        <v>0</v>
      </c>
      <c r="N4" s="30" cm="1">
        <f t="array" ref="N4">SUM((data_winner="a")*(player_type_a=A4)*(player_type_b="Infantry"),(data_winner="b")*(player_type_b=A4)*(player_type_a="Infantry"))/SUM((player_type_a=A4)*(player_type_b="Infantry"),(player_type_b=A4)*(player_type_a="Infantry"))</f>
        <v>0.5</v>
      </c>
      <c r="O4" s="71" cm="1">
        <f t="array" ref="O4">IF(SUM((data_stance_a="attack")*(player_type_a=A4)*(player_type_b="Infantry"),(data_stance_b="attack")*(player_type_b=A4)*(player_type_a="Infantry"))=0,"-",SUM((data_stance_a="attack")*(data_winner="a")*(player_type_a=A4)*(player_type_b="Infantry"),(data_stance_b="attack")*(data_winner="b")*(player_type_b=A4)*(player_type_a="Infantry"))/SUM((data_stance_a="attack")*(player_type_a=A4)*(player_type_b="Infantry"),(data_stance_b="attack")*(player_type_b=A4)*(player_type_a="Infantry")))</f>
        <v>0</v>
      </c>
      <c r="P4" s="71" cm="1">
        <f t="array" ref="P4">IF(SUM((data_stance_a="maneuver")*(player_type_a=A4)*(player_type_b="Infantry"),(data_stance_b="maneuver")*(player_type_b=A4)*(player_type_a="Infantry"))=0,"-",SUM((data_stance_a="maneuver")*(data_winner="a")*(player_type_a=A4)*(player_type_b="Infantry"),(data_stance_b="maneuver")*(data_winner="b")*(player_type_b=A4)*(player_type_a="Infantry"))/SUM((data_stance_a="maneuver")*(player_type_a=A4)*(player_type_b="Infantry"),(data_stance_b="maneuver")*(player_type_b=A4)*(player_type_a="Infantry")))</f>
        <v>1</v>
      </c>
      <c r="Q4" s="32" t="str" cm="1">
        <f t="array" ref="Q4">IF(SUM((data_stance_a="defend")*(player_type_a=A4)*(player_type_b="Infantry"),(data_stance_b="defend")*(player_type_b=A4)*(player_type_a="Infantry"))=0,"-",SUM((data_stance_a="defend")*(data_winner="a")*(player_type_a=A4)*(player_type_b="Infantry"),(data_stance_b="defend")*(data_winner="b")*(player_type_b=A4)*(player_type_a="Infantry"))/SUM((data_stance_a="defend")*(player_type_a=A4)*(player_type_b="Infantry"),(data_stance_b="defend")*(player_type_b=A4)*(player_type_a="Infantry")))</f>
        <v>-</v>
      </c>
      <c r="R4" s="30" cm="1">
        <f t="array" ref="R4">SUM((data_winner="a")*(player_type_a=A4)*(player_type_b="Tank"),(data_winner="b")*(player_type_b=A4)*(player_type_a="Tank"))/SUM((player_type_a=A4)*(player_type_b="Tank"),(player_type_b=A4)*(player_type_a="Tank"))</f>
        <v>0.4</v>
      </c>
      <c r="S4" s="71" cm="1">
        <f t="array" ref="S4">IF(SUM((data_stance_a="attack")*(player_type_a=A4)*(player_type_b="Tank"),(data_stance_b="attack")*(player_type_b=A4)*(player_type_a="Tank"))=0,"-",SUM((data_stance_a="attack")*(data_winner="a")*(player_type_a=A4)*(player_type_b="Tank"),(data_stance_b="attack")*(data_winner="b")*(player_type_b=A4)*(player_type_a="Tank"))/SUM((data_stance_a="attack")*(player_type_a=A4)*(player_type_b="Tank"),(data_stance_b="attack")*(player_type_b=A4)*(player_type_a="Tank")))</f>
        <v>0.5</v>
      </c>
      <c r="T4" s="71" cm="1">
        <f t="array" ref="T4">IF(SUM((data_stance_a="maneuver")*(player_type_a=A4)*(player_type_b="Tank"),(data_stance_b="maneuver")*(player_type_b=A4)*(player_type_a="Tank"))=0,"-",SUM((data_stance_a="maneuver")*(data_winner="a")*(player_type_a=A4)*(player_type_b="Tank"),(data_stance_b="maneuver")*(data_winner="b")*(player_type_b=A4)*(player_type_a="Tank"))/SUM((data_stance_a="maneuver")*(player_type_a=A4)*(player_type_b="Tank"),(data_stance_b="maneuver")*(player_type_b=A4)*(player_type_a="Tank")))</f>
        <v>0.33333333333333331</v>
      </c>
      <c r="U4" s="32" t="str" cm="1">
        <f t="array" ref="U4">IF(SUM((data_stance_a="defend")*(player_type_a=A4)*(player_type_b="Tank"),(data_stance_b="defend")*(player_type_b=A4)*(player_type_a="Tank"))=0,"-",SUM((data_stance_a="defend")*(data_winner="a")*(player_type_a=A4)*(player_type_b="Tank"),(data_stance_b="defend")*(data_winner="b")*(player_type_b=A4)*(player_type_a="Tank"))/SUM((data_stance_a="defend")*(player_type_a=A4)*(player_type_b="Tank"),(data_stance_b="defend")*(player_type_b=A4)*(player_type_a="Tank")))</f>
        <v>-</v>
      </c>
      <c r="V4" s="30" cm="1">
        <f t="array" ref="V4">IF(SUM((player_type_a=A4)*(player_type_b="Mechanised Infantry"),(player_type_b=A4)*(player_type_a="Mechanised Infantry"))=0,"-",SUM((data_winner="a")*(player_type_a=A4)*(player_type_b="Mechanised Infantry"),(data_winner="b")*(player_type_b=A4)*(player_type_a="Mechanised Infantry"))/SUM((player_type_a=A4)*(player_type_b="Mechanised Infantry"),(player_type_b=A4)*(player_type_a="Mechanised Infantry")))</f>
        <v>0.5</v>
      </c>
      <c r="W4" s="71" t="str" cm="1">
        <f t="array" ref="W4">IF(SUM((data_stance_a="attack")*(player_type_a=A4)*(player_type_b="Mechanised Infantry"),(data_stance_b="attack")*(player_type_b=A4)*(player_type_a="Mechanised Infantry"))=0,"-",SUM((data_stance_a="attack")*(data_winner="a")*(player_type_a=A4)*(player_type_b="Mechanised Infantry"),(data_stance_b="attack")*(data_winner="b")*(player_type_b=A4)*(player_type_a="Mechanised Infantry"))/SUM((data_stance_a="attack")*(player_type_a=A4)*(player_type_b="Mechanised Infantry"),(data_stance_b="attack")*(player_type_b=A4)*(player_type_a="Mechanised Infantry")))</f>
        <v>-</v>
      </c>
      <c r="X4" s="71" cm="1">
        <f t="array" ref="X4">IF(SUM((data_stance_a="maneuver")*(player_type_a=A4)*(player_type_b="Mechanised Infantry"),(data_stance_b="maneuver")*(player_type_b=A4)*(player_type_a="Mechanised Infantry"))=0,"-",SUM((data_stance_a="maneuver")*(data_winner="a")*(player_type_a=A4)*(player_type_b="Mechanised Infantry"),(data_stance_b="maneuver")*(data_winner="b")*(player_type_b=A4)*(player_type_a="Mechanised Infantry"))/SUM((data_stance_a="maneuver")*(player_type_a=A4)*(player_type_b="Mechanised Infantry"),(data_stance_b="maneuver")*(player_type_b=A4)*(player_type_a="Mechanised Infantry")))</f>
        <v>1</v>
      </c>
      <c r="Y4" s="32" cm="1">
        <f t="array" ref="Y4">IF(SUM((data_stance_a="defend")*(player_type_a=A4)*(player_type_b="Mechanised Infantry"),(data_stance_b="defend")*(player_type_b=A4)*(player_type_a="Mechanised Infantry"))=0,"-",SUM((data_stance_a="defend")*(data_winner="a")*(player_type_a=A4)*(player_type_b="Mechanised Infantry"),(data_stance_b="defend")*(data_winner="b")*(player_type_b=A4)*(player_type_a="Mechanised Infantry"))/SUM((data_stance_a="defend")*(player_type_a=A4)*(player_type_b="Mechanised Infantry"),(data_stance_b="defend")*(player_type_b=A4)*(player_type_a="Mechanised Infantry")))</f>
        <v>0</v>
      </c>
      <c r="Z4" s="30" cm="1">
        <f t="array" ref="Z4">IF(SUM((player_type_a=A4)*N(NOT(ISERROR(SEARCH("Combined",player_type_b)))),(player_type_b=A4)*N(NOT(ISERROR(SEARCH("Combined",player_type_a)))))=0,"-",SUM((data_winner="a")*(player_type_a=A4)*N(NOT(ISERROR(SEARCH("Combined",player_type_b)))),(data_winner="b")*(player_type_b=A4)*N(NOT(ISERROR(SEARCH("Combined",player_type_a)))))/SUM((player_type_a=A4)*N(NOT(ISERROR(SEARCH("Combined",player_type_b)))),(player_type_b=A4)*N(NOT(ISERROR(SEARCH("Combined",player_type_a))))))</f>
        <v>0.5</v>
      </c>
      <c r="AA4" s="31" cm="1">
        <f t="array" ref="AA4">IF(SUM((data_stance_a="attack")*(player_type_a=A4)*N(NOT(ISERROR(SEARCH("Combined",player_type_b)))),(data_stance_b="attack")*(player_type_b=A4)*N(NOT(ISERROR(SEARCH("Combined",player_type_a)))))=0,"-",SUM((data_stance_a="attack")*(data_winner="a")*(player_type_a=A4)*N(NOT(ISERROR(SEARCH("Combined",player_type_b)))),(data_stance_b="attack")*(data_winner="b")*(player_type_b=A4)*N(NOT(ISERROR(SEARCH("Combined",player_type_a)))))/SUM((data_stance_a="attack")*(player_type_a=A4)*N(NOT(ISERROR(SEARCH("Combined",player_type_b)))),(data_stance_b="attack")*(player_type_b=A4)*N(NOT(ISERROR(SEARCH("Combined",player_type_a))))))</f>
        <v>0</v>
      </c>
      <c r="AB4" s="31" cm="1">
        <f t="array" ref="AB4">IF(SUM((data_stance_a="maneuver")*(player_type_a=A4)*N(NOT(ISERROR(SEARCH("Combined",player_type_b)))),(data_stance_b="maneuver")*(player_type_b=A4)*N(NOT(ISERROR(SEARCH("Combined",player_type_a)))))=0,"-",SUM((data_stance_a="maneuver")*(data_winner="a")*(player_type_a=A4)*N(NOT(ISERROR(SEARCH("Combined",player_type_b)))),(data_stance_b="maneuver")*(data_winner="b")*(player_type_b=A4)*N(NOT(ISERROR(SEARCH("Combined",player_type_a)))))/SUM((data_stance_a="maneuver")*(player_type_a=A4)*N(NOT(ISERROR(SEARCH("Combined",player_type_b)))),(data_stance_b="maneuver")*(player_type_b=A4)*N(NOT(ISERROR(SEARCH("Combined",player_type_a))))))</f>
        <v>1</v>
      </c>
      <c r="AC4" s="32" t="str" cm="1">
        <f t="array" ref="AC4">IF(SUM((data_stance_a="defend")*(player_type_a=A4)*N(NOT(ISERROR(SEARCH("Combined",player_type_b)))),(data_stance_b="defend")*(player_type_b=A4)*N(NOT(ISERROR(SEARCH("Combined",player_type_a)))))=0,"-",SUM((data_stance_a="defend")*(data_winner="a")*(player_type_a=A4)*N(NOT(ISERROR(SEARCH("Combined",player_type_b)))),(data_stance_b="defend")*(data_winner="b")*(player_type_b=A4)*N(NOT(ISERROR(SEARCH("Combined",player_type_a)))))/SUM((data_stance_a="defend")*(player_type_a=A4)*N(NOT(ISERROR(SEARCH("Combined",player_type_b)))),(data_stance_b="defend")*(player_type_b=A4)*N(NOT(ISERROR(SEARCH("Combined",player_type_a))))))</f>
        <v>-</v>
      </c>
    </row>
    <row r="5" spans="1:29" x14ac:dyDescent="0.25">
      <c r="A5" s="70" t="s">
        <v>114</v>
      </c>
      <c r="B5" cm="1">
        <f t="array" ref="B5">SUM(N(type_1=A5),N(type_2=A5))</f>
        <v>6</v>
      </c>
      <c r="C5" cm="1">
        <f t="array" ref="C5">SUM(N(player_type_a=A5),N(player_type_b=A5))</f>
        <v>23</v>
      </c>
      <c r="D5" s="71" cm="1">
        <f t="array" ref="D5">SUM((data_winner="a")*(player_type_a=A5),(data_winner="b")*(player_type_b=A5))/C5</f>
        <v>0.39130434782608697</v>
      </c>
      <c r="E5" s="71" cm="1">
        <f t="array" ref="E5">SUM((data_winner="b")*(player_type_a=A5),(data_winner="a")*(player_type_b=A5))/C5</f>
        <v>0.39130434782608697</v>
      </c>
      <c r="F5" s="71" cm="1">
        <f t="array" ref="F5">SUM((data_winner="none")*(player_type_a=A5),(data_winner="none")*(player_type_b=A5))/C5</f>
        <v>0.21739130434782608</v>
      </c>
      <c r="G5" s="28" cm="1">
        <f t="array" ref="G5">(SUM(data_score_a*N(player_type_a=A5))+SUM(data_score_b*N(player_type_b=A5)))/C5</f>
        <v>4.1739130434782608</v>
      </c>
      <c r="H5" s="28" cm="1">
        <f t="array" ref="H5">(SUM(data_units_a*N(player_type_a=A5))+SUM(data_units_b*N(player_type_b=A5)))/C5</f>
        <v>2.347826086956522</v>
      </c>
      <c r="I5" s="28" cm="1">
        <f t="array" ref="I5">(SUM(data_units_a*N(player_type_b=A5))+SUM(data_units_b*N(player_type_a=A5)))/C5</f>
        <v>2.6956521739130435</v>
      </c>
      <c r="J5" s="72">
        <f>I5/H5</f>
        <v>1.1481481481481481</v>
      </c>
      <c r="K5" s="39" cm="1">
        <f t="array" ref="K5">IF(SUM(N(data_stance_b="attack")*N(player_type_b=A5),N(data_stance_a="attack")*N(player_type_a=A5))=0,"-",SUM(N(data_stance_a="attack")*N(player_type_a=A5)*N(data_winner="a"),N(data_stance_b="attack")*N(player_type_b=A5)*N(data_winner="b"))/SUM(N(data_stance_b="attack")*N(player_type_b=A5),N(data_stance_a="attack")*N(player_type_a=A5)))</f>
        <v>0.33333333333333331</v>
      </c>
      <c r="L5" s="39" cm="1">
        <f t="array" ref="L5">IF(SUM(N(data_stance_b="meneuver")*N(player_type_b=A5),N(data_stance_a="maneuver")*N(player_type_a=A5))=0,"-",SUM(N(data_stance_a="maneuver")*N(player_type_a=A5)*N(data_winner="a"),N(data_stance_b="maneuver")*N(player_type_b=A5)*N(data_winner="b"))/SUM(N(data_stance_b="maneuver")*N(player_type_b=A5),N(data_stance_a="maneuver")*N(player_type_a=A5)))</f>
        <v>0.27272727272727271</v>
      </c>
      <c r="M5" s="40" cm="1">
        <f t="array" ref="M5">IF(SUM(N(data_stance_b="defend")*N(player_type_b=A5),N(data_stance_a="defend")*N(player_type_a=A5))=0,"-",SUM(N(data_stance_a="defend")*N(player_type_a=A5)*N(data_winner="a"),N(data_stance_b="defend")*N(player_type_b=A5)*N(data_winner="b"))/SUM(N(data_stance_b="defend")*N(player_type_b=A5),N(data_stance_a="defend")*N(player_type_a=A5)))</f>
        <v>0.55555555555555558</v>
      </c>
      <c r="N5" s="30" cm="1">
        <f t="array" ref="N5">SUM((data_winner="a")*(player_type_a=A5)*(player_type_b="Infantry"),(data_winner="b")*(player_type_b=A5)*(player_type_a="Infantry"))/SUM((player_type_a=A5)*(player_type_b="Infantry"),(player_type_b=A5)*(player_type_a="Infantry"))</f>
        <v>0.3</v>
      </c>
      <c r="O5" s="71" cm="1">
        <f t="array" ref="O5">IF(SUM((data_stance_a="attack")*(player_type_a=A5)*(player_type_b="Infantry"),(data_stance_b="attack")*(player_type_b=A5)*(player_type_a="Infantry"))=0,"-",SUM((data_stance_a="attack")*(data_winner="a")*(player_type_a=A5)*(player_type_b="Infantry"),(data_stance_b="attack")*(data_winner="b")*(player_type_b=A5)*(player_type_a="Infantry"))/SUM((data_stance_a="attack")*(player_type_a=A5)*(player_type_b="Infantry"),(data_stance_b="attack")*(player_type_b=A5)*(player_type_a="Infantry")))</f>
        <v>0</v>
      </c>
      <c r="P5" s="71" cm="1">
        <f t="array" ref="P5">IF(SUM((data_stance_a="maneuver")*(player_type_a=A5)*(player_type_b="Infantry"),(data_stance_b="maneuver")*(player_type_b=A5)*(player_type_a="Infantry"))=0,"-",SUM((data_stance_a="maneuver")*(data_winner="a")*(player_type_a=A5)*(player_type_b="Infantry"),(data_stance_b="maneuver")*(data_winner="b")*(player_type_b=A5)*(player_type_a="Infantry"))/SUM((data_stance_a="maneuver")*(player_type_a=A5)*(player_type_b="Infantry"),(data_stance_b="maneuver")*(player_type_b=A5)*(player_type_a="Infantry")))</f>
        <v>0.4</v>
      </c>
      <c r="Q5" s="32" cm="1">
        <f t="array" ref="Q5">IF(SUM((data_stance_a="defend")*(player_type_a=A5)*(player_type_b="Infantry"),(data_stance_b="defend")*(player_type_b=A5)*(player_type_a="Infantry"))=0,"-",SUM((data_stance_a="defend")*(data_winner="a")*(player_type_a=A5)*(player_type_b="Infantry"),(data_stance_b="defend")*(data_winner="b")*(player_type_b=A5)*(player_type_a="Infantry"))/SUM((data_stance_a="defend")*(player_type_a=A5)*(player_type_b="Infantry"),(data_stance_b="defend")*(player_type_b=A5)*(player_type_a="Infantry")))</f>
        <v>0.33333333333333331</v>
      </c>
      <c r="R5" s="30" cm="1">
        <f t="array" ref="R5">SUM((data_winner="a")*(player_type_a=A5)*(player_type_b="Tank"),(data_winner="b")*(player_type_b=A5)*(player_type_a="Tank"))/SUM((player_type_a=A5)*(player_type_b="Tank"),(player_type_b=A5)*(player_type_a="Tank"))</f>
        <v>0.375</v>
      </c>
      <c r="S5" s="71" t="str" cm="1">
        <f t="array" ref="S5">IF(SUM((data_stance_a="attack")*(player_type_a=A5)*(player_type_b="Tank"),(data_stance_b="attack")*(player_type_b=A5)*(player_type_a="Tank"))=0,"-",SUM((data_stance_a="attack")*(data_winner="a")*(player_type_a=A5)*(player_type_b="Tank"),(data_stance_b="attack")*(data_winner="b")*(player_type_b=A5)*(player_type_a="Tank"))/SUM((data_stance_a="attack")*(player_type_a=A5)*(player_type_b="Tank"),(data_stance_b="attack")*(player_type_b=A5)*(player_type_a="Tank")))</f>
        <v>-</v>
      </c>
      <c r="T5" s="71" cm="1">
        <f t="array" ref="T5">IF(SUM((data_stance_a="maneuver")*(player_type_a=A5)*(player_type_b="Tank"),(data_stance_b="maneuver")*(player_type_b=A5)*(player_type_a="Tank"))=0,"-",SUM((data_stance_a="maneuver")*(data_winner="a")*(player_type_a=A5)*(player_type_b="Tank"),(data_stance_b="maneuver")*(data_winner="b")*(player_type_b=A5)*(player_type_a="Tank"))/SUM((data_stance_a="maneuver")*(player_type_a=A5)*(player_type_b="Tank"),(data_stance_b="maneuver")*(player_type_b=A5)*(player_type_a="Tank")))</f>
        <v>0</v>
      </c>
      <c r="U5" s="32" cm="1">
        <f t="array" ref="U5">IF(SUM((data_stance_a="defend")*(player_type_a=A5)*(player_type_b="Tank"),(data_stance_b="defend")*(player_type_b=A5)*(player_type_a="Tank"))=0,"-",SUM((data_stance_a="defend")*(data_winner="a")*(player_type_a=A5)*(player_type_b="Tank"),(data_stance_b="defend")*(data_winner="b")*(player_type_b=A5)*(player_type_a="Tank"))/SUM((data_stance_a="defend")*(player_type_a=A5)*(player_type_b="Tank"),(data_stance_b="defend")*(player_type_b=A5)*(player_type_a="Tank")))</f>
        <v>0.6</v>
      </c>
      <c r="V5" s="30" cm="1">
        <f t="array" ref="V5">IF(SUM((player_type_a=A5)*(player_type_b="Mechanised Infantry"),(player_type_b=A5)*(player_type_a="Mechanised Infantry"))=0,"-",SUM((data_winner="a")*(player_type_a=A5)*(player_type_b="Mechanised Infantry"),(data_winner="b")*(player_type_b=A5)*(player_type_a="Mechanised Infantry"))/SUM((player_type_a=A5)*(player_type_b="Mechanised Infantry"),(player_type_b=A5)*(player_type_a="Mechanised Infantry")))</f>
        <v>0.5</v>
      </c>
      <c r="W5" s="71" t="str" cm="1">
        <f t="array" ref="W5">IF(SUM((data_stance_a="attack")*(player_type_a=A5)*(player_type_b="Mechanised Infantry"),(data_stance_b="attack")*(player_type_b=A5)*(player_type_a="Mechanised Infantry"))=0,"-",SUM((data_stance_a="attack")*(data_winner="a")*(player_type_a=A5)*(player_type_b="Mechanised Infantry"),(data_stance_b="attack")*(data_winner="b")*(player_type_b=A5)*(player_type_a="Mechanised Infantry"))/SUM((data_stance_a="attack")*(player_type_a=A5)*(player_type_b="Mechanised Infantry"),(data_stance_b="attack")*(player_type_b=A5)*(player_type_a="Mechanised Infantry")))</f>
        <v>-</v>
      </c>
      <c r="X5" s="71" cm="1">
        <f t="array" ref="X5">IF(SUM((data_stance_a="maneuver")*(player_type_a=A5)*(player_type_b="Mechanised Infantry"),(data_stance_b="maneuver")*(player_type_b=A5)*(player_type_a="Mechanised Infantry"))=0,"-",SUM((data_stance_a="maneuver")*(data_winner="a")*(player_type_a=A5)*(player_type_b="Mechanised Infantry"),(data_stance_b="maneuver")*(data_winner="b")*(player_type_b=A5)*(player_type_a="Mechanised Infantry"))/SUM((data_stance_a="maneuver")*(player_type_a=A5)*(player_type_b="Mechanised Infantry"),(data_stance_b="maneuver")*(player_type_b=A5)*(player_type_a="Mechanised Infantry")))</f>
        <v>0.5</v>
      </c>
      <c r="Y5" s="32" t="str" cm="1">
        <f t="array" ref="Y5">IF(SUM((data_stance_a="defend")*(player_type_a=A5)*(player_type_b="Mechanised Infantry"),(data_stance_b="defend")*(player_type_b=A5)*(player_type_a="Mechanised Infantry"))=0,"-",SUM((data_stance_a="defend")*(data_winner="a")*(player_type_a=A5)*(player_type_b="Mechanised Infantry"),(data_stance_b="defend")*(data_winner="b")*(player_type_b=A5)*(player_type_a="Mechanised Infantry"))/SUM((data_stance_a="defend")*(player_type_a=A5)*(player_type_b="Mechanised Infantry"),(data_stance_b="defend")*(player_type_b=A5)*(player_type_a="Mechanised Infantry")))</f>
        <v>-</v>
      </c>
      <c r="Z5" s="30" cm="1">
        <f t="array" ref="Z5">IF(SUM((player_type_a=A5)*N(NOT(ISERROR(SEARCH("Combined",player_type_b)))),(player_type_b=A5)*N(NOT(ISERROR(SEARCH("Combined",player_type_a)))))=0,"-",SUM((data_winner="a")*(player_type_a=A5)*N(NOT(ISERROR(SEARCH("Combined",player_type_b)))),(data_winner="b")*(player_type_b=A5)*N(NOT(ISERROR(SEARCH("Combined",player_type_a)))))/SUM((player_type_a=A5)*N(NOT(ISERROR(SEARCH("Combined",player_type_b)))),(player_type_b=A5)*N(NOT(ISERROR(SEARCH("Combined",player_type_a))))))</f>
        <v>0.66666666666666663</v>
      </c>
      <c r="AA5" s="71" cm="1">
        <f t="array" ref="AA5">IF(SUM((data_stance_a="attack")*(player_type_a=A5)*N(NOT(ISERROR(SEARCH("Combined",player_type_b)))),(data_stance_b="attack")*(player_type_b=A5)*N(NOT(ISERROR(SEARCH("Combined",player_type_a)))))=0,"-",SUM((data_stance_a="attack")*(data_winner="a")*(player_type_a=A5)*N(NOT(ISERROR(SEARCH("Combined",player_type_b)))),(data_stance_b="attack")*(data_winner="b")*(player_type_b=A5)*N(NOT(ISERROR(SEARCH("Combined",player_type_a)))))/SUM((data_stance_a="attack")*(player_type_a=A5)*N(NOT(ISERROR(SEARCH("Combined",player_type_b)))),(data_stance_b="attack")*(player_type_b=A5)*N(NOT(ISERROR(SEARCH("Combined",player_type_a))))))</f>
        <v>1</v>
      </c>
      <c r="AB5" s="71" cm="1">
        <f t="array" ref="AB5">IF(SUM((data_stance_a="maneuver")*(player_type_a=A5)*N(NOT(ISERROR(SEARCH("Combined",player_type_b)))),(data_stance_b="maneuver")*(player_type_b=A5)*N(NOT(ISERROR(SEARCH("Combined",player_type_a)))))=0,"-",SUM((data_stance_a="maneuver")*(data_winner="a")*(player_type_a=A5)*N(NOT(ISERROR(SEARCH("Combined",player_type_b)))),(data_stance_b="maneuver")*(data_winner="b")*(player_type_b=A5)*N(NOT(ISERROR(SEARCH("Combined",player_type_a)))))/SUM((data_stance_a="maneuver")*(player_type_a=A5)*N(NOT(ISERROR(SEARCH("Combined",player_type_b)))),(data_stance_b="maneuver")*(player_type_b=A5)*N(NOT(ISERROR(SEARCH("Combined",player_type_a))))))</f>
        <v>0</v>
      </c>
      <c r="AC5" s="32" cm="1">
        <f t="array" ref="AC5">IF(SUM((data_stance_a="defend")*(player_type_a=A5)*N(NOT(ISERROR(SEARCH("Combined",player_type_b)))),(data_stance_b="defend")*(player_type_b=A5)*N(NOT(ISERROR(SEARCH("Combined",player_type_a)))))=0,"-",SUM((data_stance_a="defend")*(data_winner="a")*(player_type_a=A5)*N(NOT(ISERROR(SEARCH("Combined",player_type_b)))),(data_stance_b="defend")*(data_winner="b")*(player_type_b=A5)*N(NOT(ISERROR(SEARCH("Combined",player_type_a)))))/SUM((data_stance_a="defend")*(player_type_a=A5)*N(NOT(ISERROR(SEARCH("Combined",player_type_b)))),(data_stance_b="defend")*(player_type_b=A5)*N(NOT(ISERROR(SEARCH("Combined",player_type_a))))))</f>
        <v>1</v>
      </c>
    </row>
    <row r="6" spans="1:29" x14ac:dyDescent="0.25">
      <c r="A6" s="69" t="s">
        <v>116</v>
      </c>
      <c r="B6" cm="1">
        <f t="array" ref="B6">SUM(N(type_1=A6),N(type_2=A6))</f>
        <v>11</v>
      </c>
      <c r="C6" cm="1">
        <f t="array" ref="C6">SUM(N(player_type_a=A6),N(player_type_b=A6))</f>
        <v>42</v>
      </c>
      <c r="D6" s="31" cm="1">
        <f t="array" ref="D6">SUM((data_winner="a")*(player_type_a=A6),(data_winner="b")*(player_type_b=A6))/C6</f>
        <v>0.33333333333333331</v>
      </c>
      <c r="E6" s="31" cm="1">
        <f t="array" ref="E6">SUM((data_winner="b")*(player_type_a=A6),(data_winner="a")*(player_type_b=A6))/C6</f>
        <v>0.5</v>
      </c>
      <c r="F6" s="31" cm="1">
        <f t="array" ref="F6">SUM((data_winner="none")*(player_type_a=A6),(data_winner="none")*(player_type_b=A6))/C6</f>
        <v>0.16666666666666666</v>
      </c>
      <c r="G6" s="28" cm="1">
        <f t="array" ref="G6">(SUM(data_score_a*N(player_type_a=A6))+SUM(data_score_b*N(player_type_b=A6)))/C6</f>
        <v>3.5952380952380953</v>
      </c>
      <c r="H6" s="28" cm="1">
        <f t="array" ref="H6">(SUM(data_units_a*N(player_type_a=A6))+SUM(data_units_b*N(player_type_b=A6)))/C6</f>
        <v>2.5476190476190474</v>
      </c>
      <c r="I6" s="28" cm="1">
        <f t="array" ref="I6">(SUM(data_units_a*N(player_type_b=A6))+SUM(data_units_b*N(player_type_a=A6)))/C6</f>
        <v>1.8571428571428572</v>
      </c>
      <c r="J6" s="72">
        <f>I6/H6</f>
        <v>0.72897196261682251</v>
      </c>
      <c r="K6" s="39" cm="1">
        <f t="array" ref="K6">IF(SUM(N(data_stance_b="attack")*N(player_type_b=A6),N(data_stance_a="attack")*N(player_type_a=A6))=0,"-",SUM(N(data_stance_a="attack")*N(player_type_a=A6)*N(data_winner="a"),N(data_stance_b="attack")*N(player_type_b=A6)*N(data_winner="b"))/SUM(N(data_stance_b="attack")*N(player_type_b=A6),N(data_stance_a="attack")*N(player_type_a=A6)))</f>
        <v>0.29166666666666669</v>
      </c>
      <c r="L6" s="39" cm="1">
        <f t="array" ref="L6">IF(SUM(N(data_stance_b="meneuver")*N(player_type_b=A6),N(data_stance_a="maneuver")*N(player_type_a=A6))=0,"-",SUM(N(data_stance_a="maneuver")*N(player_type_a=A6)*N(data_winner="a"),N(data_stance_b="maneuver")*N(player_type_b=A6)*N(data_winner="b"))/SUM(N(data_stance_b="maneuver")*N(player_type_b=A6),N(data_stance_a="maneuver")*N(player_type_a=A6)))</f>
        <v>0.4</v>
      </c>
      <c r="M6" s="40" cm="1">
        <f t="array" ref="M6">IF(SUM(N(data_stance_b="defend")*N(player_type_b=A6),N(data_stance_a="defend")*N(player_type_a=A6))=0,"-",SUM(N(data_stance_a="defend")*N(player_type_a=A6)*N(data_winner="a"),N(data_stance_b="defend")*N(player_type_b=A6)*N(data_winner="b"))/SUM(N(data_stance_b="defend")*N(player_type_b=A6),N(data_stance_a="defend")*N(player_type_a=A6)))</f>
        <v>0.33333333333333331</v>
      </c>
      <c r="N6" s="30" cm="1">
        <f t="array" ref="N6">SUM((data_winner="a")*(player_type_a=A6)*(player_type_b="Infantry"),(data_winner="b")*(player_type_b=A6)*(player_type_a="Infantry"))/SUM((player_type_a=A6)*(player_type_b="Infantry"),(player_type_b=A6)*(player_type_a="Infantry"))</f>
        <v>0.1875</v>
      </c>
      <c r="O6" s="71" cm="1">
        <f t="array" ref="O6">IF(SUM((data_stance_a="attack")*(player_type_a=A6)*(player_type_b="Infantry"),(data_stance_b="attack")*(player_type_b=A6)*(player_type_a="Infantry"))=0,"-",SUM((data_stance_a="attack")*(data_winner="a")*(player_type_a=A6)*(player_type_b="Infantry"),(data_stance_b="attack")*(data_winner="b")*(player_type_b=A6)*(player_type_a="Infantry"))/SUM((data_stance_a="attack")*(player_type_a=A6)*(player_type_b="Infantry"),(data_stance_b="attack")*(player_type_b=A6)*(player_type_a="Infantry")))</f>
        <v>0</v>
      </c>
      <c r="P6" s="71" cm="1">
        <f t="array" ref="P6">IF(SUM((data_stance_a="maneuver")*(player_type_a=A6)*(player_type_b="Infantry"),(data_stance_b="maneuver")*(player_type_b=A6)*(player_type_a="Infantry"))=0,"-",SUM((data_stance_a="maneuver")*(data_winner="a")*(player_type_a=A6)*(player_type_b="Infantry"),(data_stance_b="maneuver")*(data_winner="b")*(player_type_b=A6)*(player_type_a="Infantry"))/SUM((data_stance_a="maneuver")*(player_type_a=A6)*(player_type_b="Infantry"),(data_stance_b="maneuver")*(player_type_b=A6)*(player_type_a="Infantry")))</f>
        <v>0.25</v>
      </c>
      <c r="Q6" s="32" cm="1">
        <f t="array" ref="Q6">IF(SUM((data_stance_a="defend")*(player_type_a=A6)*(player_type_b="Infantry"),(data_stance_b="defend")*(player_type_b=A6)*(player_type_a="Infantry"))=0,"-",SUM((data_stance_a="defend")*(data_winner="a")*(player_type_a=A6)*(player_type_b="Infantry"),(data_stance_b="defend")*(data_winner="b")*(player_type_b=A6)*(player_type_a="Infantry"))/SUM((data_stance_a="defend")*(player_type_a=A6)*(player_type_b="Infantry"),(data_stance_b="defend")*(player_type_b=A6)*(player_type_a="Infantry")))</f>
        <v>0.5</v>
      </c>
      <c r="R6" s="30" cm="1">
        <f t="array" ref="R6">SUM((data_winner="a")*(player_type_a=A6)*(player_type_b="Tank"),(data_winner="b")*(player_type_b=A6)*(player_type_a="Tank"))/SUM((player_type_a=A6)*(player_type_b="Tank"),(player_type_b=A6)*(player_type_a="Tank"))</f>
        <v>0.5</v>
      </c>
      <c r="S6" s="71" cm="1">
        <f t="array" ref="S6">IF(SUM((data_stance_a="attack")*(player_type_a=A6)*(player_type_b="Tank"),(data_stance_b="attack")*(player_type_b=A6)*(player_type_a="Tank"))=0,"-",SUM((data_stance_a="attack")*(data_winner="a")*(player_type_a=A6)*(player_type_b="Tank"),(data_stance_b="attack")*(data_winner="b")*(player_type_b=A6)*(player_type_a="Tank"))/SUM((data_stance_a="attack")*(player_type_a=A6)*(player_type_b="Tank"),(data_stance_b="attack")*(player_type_b=A6)*(player_type_a="Tank")))</f>
        <v>0.5714285714285714</v>
      </c>
      <c r="T6" s="71" cm="1">
        <f t="array" ref="T6">IF(SUM((data_stance_a="maneuver")*(player_type_a=A6)*(player_type_b="Tank"),(data_stance_b="maneuver")*(player_type_b=A6)*(player_type_a="Tank"))=0,"-",SUM((data_stance_a="maneuver")*(data_winner="a")*(player_type_a=A6)*(player_type_b="Tank"),(data_stance_b="maneuver")*(data_winner="b")*(player_type_b=A6)*(player_type_a="Tank"))/SUM((data_stance_a="maneuver")*(player_type_a=A6)*(player_type_b="Tank"),(data_stance_b="maneuver")*(player_type_b=A6)*(player_type_a="Tank")))</f>
        <v>0.5</v>
      </c>
      <c r="U6" s="32" cm="1">
        <f t="array" ref="U6">IF(SUM((data_stance_a="defend")*(player_type_a=A6)*(player_type_b="Tank"),(data_stance_b="defend")*(player_type_b=A6)*(player_type_a="Tank"))=0,"-",SUM((data_stance_a="defend")*(data_winner="a")*(player_type_a=A6)*(player_type_b="Tank"),(data_stance_b="defend")*(data_winner="b")*(player_type_b=A6)*(player_type_a="Tank"))/SUM((data_stance_a="defend")*(player_type_a=A6)*(player_type_b="Tank"),(data_stance_b="defend")*(player_type_b=A6)*(player_type_a="Tank")))</f>
        <v>0</v>
      </c>
      <c r="V6" s="30" cm="1">
        <f t="array" ref="V6">IF(SUM((player_type_a=A6)*(player_type_b="Mechanised Infantry"),(player_type_b=A6)*(player_type_a="Mechanised Infantry"))=0,"-",SUM((data_winner="a")*(player_type_a=A6)*(player_type_b="Mechanised Infantry"),(data_winner="b")*(player_type_b=A6)*(player_type_a="Mechanised Infantry"))/SUM((player_type_a=A6)*(player_type_b="Mechanised Infantry"),(player_type_b=A6)*(player_type_a="Mechanised Infantry")))</f>
        <v>0.2</v>
      </c>
      <c r="W6" s="71" cm="1">
        <f t="array" ref="W6">IF(SUM((data_stance_a="attack")*(player_type_a=A6)*(player_type_b="Mechanised Infantry"),(data_stance_b="attack")*(player_type_b=A6)*(player_type_a="Mechanised Infantry"))=0,"-",SUM((data_stance_a="attack")*(data_winner="a")*(player_type_a=A6)*(player_type_b="Mechanised Infantry"),(data_stance_b="attack")*(data_winner="b")*(player_type_b=A6)*(player_type_a="Mechanised Infantry"))/SUM((data_stance_a="attack")*(player_type_a=A6)*(player_type_b="Mechanised Infantry"),(data_stance_b="attack")*(player_type_b=A6)*(player_type_a="Mechanised Infantry")))</f>
        <v>0.2</v>
      </c>
      <c r="X6" s="71" t="str" cm="1">
        <f t="array" ref="X6">IF(SUM((data_stance_a="maneuver")*(player_type_a=A6)*(player_type_b="Mechanised Infantry"),(data_stance_b="maneuver")*(player_type_b=A6)*(player_type_a="Mechanised Infantry"))=0,"-",SUM((data_stance_a="maneuver")*(data_winner="a")*(player_type_a=A6)*(player_type_b="Mechanised Infantry"),(data_stance_b="maneuver")*(data_winner="b")*(player_type_b=A6)*(player_type_a="Mechanised Infantry"))/SUM((data_stance_a="maneuver")*(player_type_a=A6)*(player_type_b="Mechanised Infantry"),(data_stance_b="maneuver")*(player_type_b=A6)*(player_type_a="Mechanised Infantry")))</f>
        <v>-</v>
      </c>
      <c r="Y6" s="32" t="str" cm="1">
        <f t="array" ref="Y6">IF(SUM((data_stance_a="defend")*(player_type_a=A6)*(player_type_b="Mechanised Infantry"),(data_stance_b="defend")*(player_type_b=A6)*(player_type_a="Mechanised Infantry"))=0,"-",SUM((data_stance_a="defend")*(data_winner="a")*(player_type_a=A6)*(player_type_b="Mechanised Infantry"),(data_stance_b="defend")*(data_winner="b")*(player_type_b=A6)*(player_type_a="Mechanised Infantry"))/SUM((data_stance_a="defend")*(player_type_a=A6)*(player_type_b="Mechanised Infantry"),(data_stance_b="defend")*(player_type_b=A6)*(player_type_a="Mechanised Infantry")))</f>
        <v>-</v>
      </c>
      <c r="Z6" s="30" cm="1">
        <f t="array" ref="Z6">IF(SUM((player_type_a=A6)*N(NOT(ISERROR(SEARCH("Combined",player_type_b)))),(player_type_b=A6)*N(NOT(ISERROR(SEARCH("Combined",player_type_a)))))=0,"-",SUM((data_winner="a")*(player_type_a=A6)*N(NOT(ISERROR(SEARCH("Combined",player_type_b)))),(data_winner="b")*(player_type_b=A6)*N(NOT(ISERROR(SEARCH("Combined",player_type_a)))))/SUM((player_type_a=A6)*N(NOT(ISERROR(SEARCH("Combined",player_type_b)))),(player_type_b=A6)*N(NOT(ISERROR(SEARCH("Combined",player_type_a))))))</f>
        <v>0.44444444444444442</v>
      </c>
      <c r="AA6" s="31" cm="1">
        <f t="array" ref="AA6">IF(SUM((data_stance_a="attack")*(player_type_a=A6)*N(NOT(ISERROR(SEARCH("Combined",player_type_b)))),(data_stance_b="attack")*(player_type_b=A6)*N(NOT(ISERROR(SEARCH("Combined",player_type_a)))))=0,"-",SUM((data_stance_a="attack")*(data_winner="a")*(player_type_a=A6)*N(NOT(ISERROR(SEARCH("Combined",player_type_b)))),(data_stance_b="attack")*(data_winner="b")*(player_type_b=A6)*N(NOT(ISERROR(SEARCH("Combined",player_type_a)))))/SUM((data_stance_a="attack")*(player_type_a=A6)*N(NOT(ISERROR(SEARCH("Combined",player_type_b)))),(data_stance_b="attack")*(player_type_b=A6)*N(NOT(ISERROR(SEARCH("Combined",player_type_a))))))</f>
        <v>0.33333333333333331</v>
      </c>
      <c r="AB6" s="31" cm="1">
        <f t="array" ref="AB6">IF(SUM((data_stance_a="maneuver")*(player_type_a=A6)*N(NOT(ISERROR(SEARCH("Combined",player_type_b)))),(data_stance_b="maneuver")*(player_type_b=A6)*N(NOT(ISERROR(SEARCH("Combined",player_type_a)))))=0,"-",SUM((data_stance_a="maneuver")*(data_winner="a")*(player_type_a=A6)*N(NOT(ISERROR(SEARCH("Combined",player_type_b)))),(data_stance_b="maneuver")*(data_winner="b")*(player_type_b=A6)*N(NOT(ISERROR(SEARCH("Combined",player_type_a)))))/SUM((data_stance_a="maneuver")*(player_type_a=A6)*N(NOT(ISERROR(SEARCH("Combined",player_type_b)))),(data_stance_b="maneuver")*(player_type_b=A6)*N(NOT(ISERROR(SEARCH("Combined",player_type_a))))))</f>
        <v>0.66666666666666663</v>
      </c>
      <c r="AC6" s="32" t="str" cm="1">
        <f t="array" ref="AC6">IF(SUM((data_stance_a="defend")*(player_type_a=A6)*N(NOT(ISERROR(SEARCH("Combined",player_type_b)))),(data_stance_b="defend")*(player_type_b=A6)*N(NOT(ISERROR(SEARCH("Combined",player_type_a)))))=0,"-",SUM((data_stance_a="defend")*(data_winner="a")*(player_type_a=A6)*N(NOT(ISERROR(SEARCH("Combined",player_type_b)))),(data_stance_b="defend")*(data_winner="b")*(player_type_b=A6)*N(NOT(ISERROR(SEARCH("Combined",player_type_a)))))/SUM((data_stance_a="defend")*(player_type_a=A6)*N(NOT(ISERROR(SEARCH("Combined",player_type_b)))),(data_stance_b="defend")*(player_type_b=A6)*N(NOT(ISERROR(SEARCH("Combined",player_type_a))))))</f>
        <v>-</v>
      </c>
    </row>
    <row r="7" spans="1:29" x14ac:dyDescent="0.25">
      <c r="A7" s="75" t="s">
        <v>112</v>
      </c>
      <c r="B7" s="2" cm="1">
        <f t="array" ref="B7">SUM(N(type_1=A7),N(type_2=A7))</f>
        <v>12</v>
      </c>
      <c r="C7" s="2" cm="1">
        <f t="array" ref="C7">SUM(N(player_type_a=A7),N(player_type_b=A7))</f>
        <v>45</v>
      </c>
      <c r="D7" s="16" cm="1">
        <f t="array" ref="D7">SUM((data_winner="a")*(player_type_a=A7),(data_winner="b")*(player_type_b=A7))/C7</f>
        <v>0.4</v>
      </c>
      <c r="E7" s="16" cm="1">
        <f t="array" ref="E7">SUM((data_winner="b")*(player_type_a=A7),(data_winner="a")*(player_type_b=A7))/C7</f>
        <v>0.26666666666666666</v>
      </c>
      <c r="F7" s="16" cm="1">
        <f t="array" ref="F7">SUM((data_winner="none")*(player_type_a=A7),(data_winner="none")*(player_type_b=A7))/C7</f>
        <v>0.33333333333333331</v>
      </c>
      <c r="G7" s="7" cm="1">
        <f t="array" ref="G7">(SUM(data_score_a*N(player_type_a=A7))+SUM(data_score_b*N(player_type_b=A7)))/C7</f>
        <v>3.911111111111111</v>
      </c>
      <c r="H7" s="7" cm="1">
        <f t="array" ref="H7">(SUM(data_units_a*N(player_type_a=A7))+SUM(data_units_b*N(player_type_b=A7)))/C7</f>
        <v>1.9555555555555555</v>
      </c>
      <c r="I7" s="7" cm="1">
        <f t="array" ref="I7">(SUM(data_units_a*N(player_type_b=A7))+SUM(data_units_b*N(player_type_a=A7)))/C7</f>
        <v>2.4666666666666668</v>
      </c>
      <c r="J7" s="73">
        <f>I7/H7</f>
        <v>1.2613636363636365</v>
      </c>
      <c r="K7" s="42" cm="1">
        <f t="array" ref="K7">IF(SUM(N(data_stance_b="attack")*N(player_type_b=A7),N(data_stance_a="attack")*N(player_type_a=A7))=0,"-",SUM(N(data_stance_a="attack")*N(player_type_a=A7)*N(data_winner="a"),N(data_stance_b="attack")*N(player_type_b=A7)*N(data_winner="b"))/SUM(N(data_stance_b="attack")*N(player_type_b=A7),N(data_stance_a="attack")*N(player_type_a=A7)))</f>
        <v>0.66666666666666663</v>
      </c>
      <c r="L7" s="42" t="str" cm="1">
        <f t="array" ref="L7">IF(SUM(N(data_stance_b="meneuver")*N(player_type_b=A7),N(data_stance_a="maneuver")*N(player_type_a=A7))=0,"-",SUM(N(data_stance_a="maneuver")*N(player_type_a=A7)*N(data_winner="a"),N(data_stance_b="maneuver")*N(player_type_b=A7)*N(data_winner="b"))/SUM(N(data_stance_b="maneuver")*N(player_type_b=A7),N(data_stance_a="maneuver")*N(player_type_a=A7)))</f>
        <v>-</v>
      </c>
      <c r="M7" s="43" cm="1">
        <f t="array" ref="M7">IF(SUM(N(data_stance_b="defend")*N(player_type_b=A7),N(data_stance_a="defend")*N(player_type_a=A7))=0,"-",SUM(N(data_stance_a="defend")*N(player_type_a=A7)*N(data_winner="a"),N(data_stance_b="defend")*N(player_type_b=A7)*N(data_winner="b"))/SUM(N(data_stance_b="defend")*N(player_type_b=A7),N(data_stance_a="defend")*N(player_type_a=A7)))</f>
        <v>0.32432432432432434</v>
      </c>
      <c r="N7" s="30" cm="1">
        <f t="array" ref="N7">SUM((data_winner="a")*(player_type_a=A7)*(player_type_b="Infantry"),(data_winner="b")*(player_type_b=A7)*(player_type_a="Infantry"))/SUM((player_type_a=A7)*(player_type_b="Infantry"),(player_type_b=A7)*(player_type_a="Infantry"))</f>
        <v>0.3125</v>
      </c>
      <c r="O7" s="71" cm="1">
        <f t="array" ref="O7">IF(SUM((data_stance_a="attack")*(player_type_a=A7)*(player_type_b="Infantry"),(data_stance_b="attack")*(player_type_b=A7)*(player_type_a="Infantry"))=0,"-",SUM((data_stance_a="attack")*(data_winner="a")*(player_type_a=A7)*(player_type_b="Infantry"),(data_stance_b="attack")*(data_winner="b")*(player_type_b=A7)*(player_type_a="Infantry"))/SUM((data_stance_a="attack")*(player_type_a=A7)*(player_type_b="Infantry"),(data_stance_b="attack")*(player_type_b=A7)*(player_type_a="Infantry")))</f>
        <v>0.66666666666666663</v>
      </c>
      <c r="P7" s="71" cm="1">
        <f t="array" ref="P7">IF(SUM((data_stance_a="maneuver")*(player_type_a=A7)*(player_type_b="Infantry"),(data_stance_b="maneuver")*(player_type_b=A7)*(player_type_a="Infantry"))=0,"-",SUM((data_stance_a="maneuver")*(data_winner="a")*(player_type_a=A7)*(player_type_b="Infantry"),(data_stance_b="maneuver")*(data_winner="b")*(player_type_b=A7)*(player_type_a="Infantry"))/SUM((data_stance_a="maneuver")*(player_type_a=A7)*(player_type_b="Infantry"),(data_stance_b="maneuver")*(player_type_b=A7)*(player_type_a="Infantry")))</f>
        <v>1</v>
      </c>
      <c r="Q7" s="32" cm="1">
        <f t="array" ref="Q7">IF(SUM((data_stance_a="defend")*(player_type_a=A7)*(player_type_b="Infantry"),(data_stance_b="defend")*(player_type_b=A7)*(player_type_a="Infantry"))=0,"-",SUM((data_stance_a="defend")*(data_winner="a")*(player_type_a=A7)*(player_type_b="Infantry"),(data_stance_b="defend")*(data_winner="b")*(player_type_b=A7)*(player_type_a="Infantry"))/SUM((data_stance_a="defend")*(player_type_a=A7)*(player_type_b="Infantry"),(data_stance_b="defend")*(player_type_b=A7)*(player_type_a="Infantry")))</f>
        <v>0.16666666666666666</v>
      </c>
      <c r="R7" s="30" cm="1">
        <f t="array" ref="R7">SUM((data_winner="a")*(player_type_a=A7)*(player_type_b="Tank"),(data_winner="b")*(player_type_b=A7)*(player_type_a="Tank"))/SUM((player_type_a=A7)*(player_type_b="Tank"),(player_type_b=A7)*(player_type_a="Tank"))</f>
        <v>0.5625</v>
      </c>
      <c r="S7" s="71" cm="1">
        <f t="array" ref="S7">IF(SUM((data_stance_a="attack")*(player_type_a=A7)*(player_type_b="Tank"),(data_stance_b="attack")*(player_type_b=A7)*(player_type_a="Tank"))=0,"-",SUM((data_stance_a="attack")*(data_winner="a")*(player_type_a=A7)*(player_type_b="Tank"),(data_stance_b="attack")*(data_winner="b")*(player_type_b=A7)*(player_type_a="Tank"))/SUM((data_stance_a="attack")*(player_type_a=A7)*(player_type_b="Tank"),(data_stance_b="attack")*(player_type_b=A7)*(player_type_a="Tank")))</f>
        <v>1</v>
      </c>
      <c r="T7" s="71" cm="1">
        <f t="array" ref="T7">IF(SUM((data_stance_a="maneuver")*(player_type_a=A7)*(player_type_b="Tank"),(data_stance_b="maneuver")*(player_type_b=A7)*(player_type_a="Tank"))=0,"-",SUM((data_stance_a="maneuver")*(data_winner="a")*(player_type_a=A7)*(player_type_b="Tank"),(data_stance_b="maneuver")*(data_winner="b")*(player_type_b=A7)*(player_type_a="Tank"))/SUM((data_stance_a="maneuver")*(player_type_a=A7)*(player_type_b="Tank"),(data_stance_b="maneuver")*(player_type_b=A7)*(player_type_a="Tank")))</f>
        <v>1</v>
      </c>
      <c r="U7" s="32" cm="1">
        <f t="array" ref="U7">IF(SUM((data_stance_a="defend")*(player_type_a=A7)*(player_type_b="Tank"),(data_stance_b="defend")*(player_type_b=A7)*(player_type_a="Tank"))=0,"-",SUM((data_stance_a="defend")*(data_winner="a")*(player_type_a=A7)*(player_type_b="Tank"),(data_stance_b="defend")*(data_winner="b")*(player_type_b=A7)*(player_type_a="Tank"))/SUM((data_stance_a="defend")*(player_type_a=A7)*(player_type_b="Tank"),(data_stance_b="defend")*(player_type_b=A7)*(player_type_a="Tank")))</f>
        <v>0.5</v>
      </c>
      <c r="V7" s="30" cm="1">
        <f t="array" ref="V7">IF(SUM((player_type_a=A7)*(player_type_b="Mechanised Infantry"),(player_type_b=A7)*(player_type_a="Mechanised Infantry"))=0,"-",SUM((data_winner="a")*(player_type_a=A7)*(player_type_b="Mechanised Infantry"),(data_winner="b")*(player_type_b=A7)*(player_type_a="Mechanised Infantry"))/SUM((player_type_a=A7)*(player_type_b="Mechanised Infantry"),(player_type_b=A7)*(player_type_a="Mechanised Infantry")))</f>
        <v>0.5</v>
      </c>
      <c r="W7" s="71" t="str" cm="1">
        <f t="array" ref="W7">IF(SUM((data_stance_a="attack")*(player_type_a=A7)*(player_type_b="Mechanised Infantry"),(data_stance_b="attack")*(player_type_b=A7)*(player_type_a="Mechanised Infantry"))=0,"-",SUM((data_stance_a="attack")*(data_winner="a")*(player_type_a=A7)*(player_type_b="Mechanised Infantry"),(data_stance_b="attack")*(data_winner="b")*(player_type_b=A7)*(player_type_a="Mechanised Infantry"))/SUM((data_stance_a="attack")*(player_type_a=A7)*(player_type_b="Mechanised Infantry"),(data_stance_b="attack")*(player_type_b=A7)*(player_type_a="Mechanised Infantry")))</f>
        <v>-</v>
      </c>
      <c r="X7" s="71" t="str" cm="1">
        <f t="array" ref="X7">IF(SUM((data_stance_a="maneuver")*(player_type_a=A7)*(player_type_b="Mechanised Infantry"),(data_stance_b="maneuver")*(player_type_b=A7)*(player_type_a="Mechanised Infantry"))=0,"-",SUM((data_stance_a="maneuver")*(data_winner="a")*(player_type_a=A7)*(player_type_b="Mechanised Infantry"),(data_stance_b="maneuver")*(data_winner="b")*(player_type_b=A7)*(player_type_a="Mechanised Infantry"))/SUM((data_stance_a="maneuver")*(player_type_a=A7)*(player_type_b="Mechanised Infantry"),(data_stance_b="maneuver")*(player_type_b=A7)*(player_type_a="Mechanised Infantry")))</f>
        <v>-</v>
      </c>
      <c r="Y7" s="32" cm="1">
        <f t="array" ref="Y7">IF(SUM((data_stance_a="defend")*(player_type_a=A7)*(player_type_b="Mechanised Infantry"),(data_stance_b="defend")*(player_type_b=A7)*(player_type_a="Mechanised Infantry"))=0,"-",SUM((data_stance_a="defend")*(data_winner="a")*(player_type_a=A7)*(player_type_b="Mechanised Infantry"),(data_stance_b="defend")*(data_winner="b")*(player_type_b=A7)*(player_type_a="Mechanised Infantry"))/SUM((data_stance_a="defend")*(player_type_a=A7)*(player_type_b="Mechanised Infantry"),(data_stance_b="defend")*(player_type_b=A7)*(player_type_a="Mechanised Infantry")))</f>
        <v>0.5</v>
      </c>
      <c r="Z7" s="33" cm="1">
        <f t="array" ref="Z7">IF(SUM((player_type_a=A7)*N(NOT(ISERROR(SEARCH("Combined",player_type_b)))),(player_type_b=A7)*N(NOT(ISERROR(SEARCH("Combined",player_type_a)))))=0,"-",SUM((data_winner="a")*(player_type_a=A7)*N(NOT(ISERROR(SEARCH("Combined",player_type_b)))),(data_winner="b")*(player_type_b=A7)*N(NOT(ISERROR(SEARCH("Combined",player_type_a)))))/SUM((player_type_a=A7)*N(NOT(ISERROR(SEARCH("Combined",player_type_b)))),(player_type_b=A7)*N(NOT(ISERROR(SEARCH("Combined",player_type_a))))))</f>
        <v>0.27272727272727271</v>
      </c>
      <c r="AA7" s="16" cm="1">
        <f t="array" ref="AA7">IF(SUM((data_stance_a="attack")*(player_type_a=A7)*N(NOT(ISERROR(SEARCH("Combined",player_type_b)))),(data_stance_b="attack")*(player_type_b=A7)*N(NOT(ISERROR(SEARCH("Combined",player_type_a)))))=0,"-",SUM((data_stance_a="attack")*(data_winner="a")*(player_type_a=A7)*N(NOT(ISERROR(SEARCH("Combined",player_type_b)))),(data_stance_b="attack")*(data_winner="b")*(player_type_b=A7)*N(NOT(ISERROR(SEARCH("Combined",player_type_a)))))/SUM((data_stance_a="attack")*(player_type_a=A7)*N(NOT(ISERROR(SEARCH("Combined",player_type_b)))),(data_stance_b="attack")*(player_type_b=A7)*N(NOT(ISERROR(SEARCH("Combined",player_type_a))))))</f>
        <v>0.5</v>
      </c>
      <c r="AB7" s="16" t="str" cm="1">
        <f t="array" ref="AB7">IF(SUM((data_stance_a="maneuver")*(player_type_a=A7)*N(NOT(ISERROR(SEARCH("Combined",player_type_b)))),(data_stance_b="maneuver")*(player_type_b=A7)*N(NOT(ISERROR(SEARCH("Combined",player_type_a)))))=0,"-",SUM((data_stance_a="maneuver")*(data_winner="a")*(player_type_a=A7)*N(NOT(ISERROR(SEARCH("Combined",player_type_b)))),(data_stance_b="maneuver")*(data_winner="b")*(player_type_b=A7)*N(NOT(ISERROR(SEARCH("Combined",player_type_a)))))/SUM((data_stance_a="maneuver")*(player_type_a=A7)*N(NOT(ISERROR(SEARCH("Combined",player_type_b)))),(data_stance_b="maneuver")*(player_type_b=A7)*N(NOT(ISERROR(SEARCH("Combined",player_type_a))))))</f>
        <v>-</v>
      </c>
      <c r="AC7" s="17" cm="1">
        <f t="array" ref="AC7">IF(SUM((data_stance_a="defend")*(player_type_a=A7)*N(NOT(ISERROR(SEARCH("Combined",player_type_b)))),(data_stance_b="defend")*(player_type_b=A7)*N(NOT(ISERROR(SEARCH("Combined",player_type_a)))))=0,"-",SUM((data_stance_a="defend")*(data_winner="a")*(player_type_a=A7)*N(NOT(ISERROR(SEARCH("Combined",player_type_b)))),(data_stance_b="defend")*(data_winner="b")*(player_type_b=A7)*N(NOT(ISERROR(SEARCH("Combined",player_type_a)))))/SUM((data_stance_a="defend")*(player_type_a=A7)*N(NOT(ISERROR(SEARCH("Combined",player_type_b)))),(data_stance_b="defend")*(player_type_b=A7)*N(NOT(ISERROR(SEARCH("Combined",player_type_a))))))</f>
        <v>0.22222222222222221</v>
      </c>
    </row>
  </sheetData>
  <sheetProtection sheet="1" objects="1" scenarios="1"/>
  <autoFilter ref="A2:AC2" xr:uid="{A0415D8C-36A0-434D-99B7-98EBBAEDD600}">
    <sortState xmlns:xlrd2="http://schemas.microsoft.com/office/spreadsheetml/2017/richdata2" ref="A3:AC7">
      <sortCondition ref="C2"/>
    </sortState>
  </autoFilter>
  <mergeCells count="5">
    <mergeCell ref="Z1:AC1"/>
    <mergeCell ref="V1:Y1"/>
    <mergeCell ref="R1:U1"/>
    <mergeCell ref="N1:Q1"/>
    <mergeCell ref="A1:M1"/>
  </mergeCells>
  <conditionalFormatting sqref="B3:B7">
    <cfRule type="top10" dxfId="68" priority="58" rank="1"/>
  </conditionalFormatting>
  <conditionalFormatting sqref="B3:AC3 N4:Y7">
    <cfRule type="expression" dxfId="67" priority="2">
      <formula>$C3&lt;5</formula>
    </cfRule>
  </conditionalFormatting>
  <conditionalFormatting sqref="C3:C7">
    <cfRule type="cellIs" dxfId="66" priority="1" operator="lessThan">
      <formula>5</formula>
    </cfRule>
    <cfRule type="top10" dxfId="65" priority="57" rank="1"/>
  </conditionalFormatting>
  <conditionalFormatting sqref="D3:D7">
    <cfRule type="top10" dxfId="64" priority="55" bottom="1" rank="1"/>
    <cfRule type="top10" dxfId="63" priority="56" rank="1"/>
  </conditionalFormatting>
  <conditionalFormatting sqref="E3:E7">
    <cfRule type="top10" dxfId="62" priority="42" bottom="1" rank="1"/>
    <cfRule type="top10" dxfId="61" priority="54" rank="1"/>
  </conditionalFormatting>
  <conditionalFormatting sqref="G3:G7">
    <cfRule type="top10" dxfId="60" priority="27" rank="1"/>
    <cfRule type="top10" dxfId="59" priority="52" bottom="1" rank="1"/>
  </conditionalFormatting>
  <conditionalFormatting sqref="H3:H7">
    <cfRule type="top10" dxfId="58" priority="25" bottom="1" rank="1"/>
    <cfRule type="top10" dxfId="57" priority="51" rank="1"/>
  </conditionalFormatting>
  <conditionalFormatting sqref="I3:I7">
    <cfRule type="top10" dxfId="56" priority="24" rank="1"/>
    <cfRule type="top10" dxfId="55" priority="50" bottom="1" rank="1"/>
  </conditionalFormatting>
  <conditionalFormatting sqref="J3:J7">
    <cfRule type="top10" dxfId="54" priority="23" rank="1"/>
    <cfRule type="top10" dxfId="53" priority="49" bottom="1" rank="1"/>
  </conditionalFormatting>
  <conditionalFormatting sqref="K3:K7">
    <cfRule type="top10" dxfId="52" priority="22" rank="1"/>
    <cfRule type="top10" dxfId="51" priority="48" bottom="1" rank="1"/>
  </conditionalFormatting>
  <conditionalFormatting sqref="L3:L7">
    <cfRule type="top10" dxfId="50" priority="20" rank="1"/>
    <cfRule type="top10" dxfId="49" priority="47" bottom="1" rank="1"/>
  </conditionalFormatting>
  <conditionalFormatting sqref="M3:M7">
    <cfRule type="top10" dxfId="48" priority="19" rank="1"/>
    <cfRule type="top10" dxfId="47" priority="46" bottom="1" rank="1"/>
  </conditionalFormatting>
  <conditionalFormatting sqref="N3:N7">
    <cfRule type="top10" dxfId="46" priority="18" rank="1"/>
    <cfRule type="top10" dxfId="45" priority="45" bottom="1" rank="1"/>
  </conditionalFormatting>
  <conditionalFormatting sqref="O3:O7">
    <cfRule type="top10" dxfId="44" priority="17" rank="1"/>
    <cfRule type="top10" dxfId="43" priority="44" bottom="1" rank="1"/>
  </conditionalFormatting>
  <conditionalFormatting sqref="P3:P7">
    <cfRule type="top10" dxfId="42" priority="16" rank="1"/>
    <cfRule type="top10" dxfId="41" priority="43" bottom="1" rank="1"/>
  </conditionalFormatting>
  <conditionalFormatting sqref="Q3:Q7">
    <cfRule type="top10" dxfId="40" priority="15" rank="1"/>
    <cfRule type="top10" dxfId="39" priority="41" bottom="1" rank="1"/>
  </conditionalFormatting>
  <conditionalFormatting sqref="R1">
    <cfRule type="containsBlanks" dxfId="38" priority="64">
      <formula>LEN(TRIM(R1))=0</formula>
    </cfRule>
    <cfRule type="containsText" dxfId="37" priority="65" operator="containsText" text="Combined">
      <formula>NOT(ISERROR(SEARCH("Combined",R1)))</formula>
    </cfRule>
    <cfRule type="cellIs" dxfId="36" priority="66" operator="equal">
      <formula>"Mechanised Infantry"</formula>
    </cfRule>
    <cfRule type="cellIs" dxfId="35" priority="67" operator="equal">
      <formula>"Infantry"</formula>
    </cfRule>
    <cfRule type="cellIs" dxfId="34" priority="68" operator="equal">
      <formula>"Tank"</formula>
    </cfRule>
  </conditionalFormatting>
  <conditionalFormatting sqref="R3:R7">
    <cfRule type="top10" dxfId="33" priority="14" rank="1"/>
    <cfRule type="top10" dxfId="32" priority="40" bottom="1" rank="1"/>
  </conditionalFormatting>
  <conditionalFormatting sqref="S3:S7">
    <cfRule type="top10" dxfId="31" priority="13" rank="1"/>
    <cfRule type="top10" dxfId="30" priority="39" bottom="1" rank="1"/>
  </conditionalFormatting>
  <conditionalFormatting sqref="T3:T7">
    <cfRule type="top10" dxfId="29" priority="12" rank="1"/>
    <cfRule type="top10" dxfId="28" priority="38" bottom="1" rank="1"/>
  </conditionalFormatting>
  <conditionalFormatting sqref="U3:U7">
    <cfRule type="top10" dxfId="27" priority="11" rank="1"/>
    <cfRule type="top10" dxfId="26" priority="37" bottom="1" rank="1"/>
  </conditionalFormatting>
  <conditionalFormatting sqref="V1">
    <cfRule type="containsBlanks" dxfId="25" priority="59">
      <formula>LEN(TRIM(V1))=0</formula>
    </cfRule>
    <cfRule type="containsText" dxfId="24" priority="60" operator="containsText" text="Combined">
      <formula>NOT(ISERROR(SEARCH("Combined",V1)))</formula>
    </cfRule>
    <cfRule type="cellIs" dxfId="23" priority="61" operator="equal">
      <formula>"Mechanised Infantry"</formula>
    </cfRule>
    <cfRule type="cellIs" dxfId="22" priority="62" operator="equal">
      <formula>"Infantry"</formula>
    </cfRule>
    <cfRule type="cellIs" dxfId="21" priority="63" operator="equal">
      <formula>"Tank"</formula>
    </cfRule>
  </conditionalFormatting>
  <conditionalFormatting sqref="V3:V7">
    <cfRule type="top10" dxfId="20" priority="10" rank="1"/>
    <cfRule type="top10" dxfId="19" priority="36" bottom="1" rank="1"/>
  </conditionalFormatting>
  <conditionalFormatting sqref="W3:W7">
    <cfRule type="top10" dxfId="18" priority="9" rank="1"/>
    <cfRule type="top10" dxfId="17" priority="35" bottom="1" rank="1"/>
  </conditionalFormatting>
  <conditionalFormatting sqref="X3:X7">
    <cfRule type="top10" dxfId="16" priority="8" rank="1"/>
    <cfRule type="top10" dxfId="15" priority="34" bottom="1" rank="1"/>
  </conditionalFormatting>
  <conditionalFormatting sqref="Y3:Y7">
    <cfRule type="top10" dxfId="14" priority="7" rank="1"/>
    <cfRule type="top10" dxfId="13" priority="33" bottom="1" rank="1"/>
  </conditionalFormatting>
  <conditionalFormatting sqref="Z1">
    <cfRule type="containsBlanks" dxfId="12" priority="84">
      <formula>LEN(TRIM(Z1))=0</formula>
    </cfRule>
    <cfRule type="containsText" dxfId="11" priority="85" operator="containsText" text="Combined">
      <formula>NOT(ISERROR(SEARCH("Combined",Z1)))</formula>
    </cfRule>
    <cfRule type="cellIs" dxfId="10" priority="86" operator="equal">
      <formula>"Mechanised Infantry"</formula>
    </cfRule>
    <cfRule type="cellIs" dxfId="9" priority="87" operator="equal">
      <formula>"Infantry"</formula>
    </cfRule>
    <cfRule type="cellIs" dxfId="8" priority="88" operator="equal">
      <formula>"Tank"</formula>
    </cfRule>
  </conditionalFormatting>
  <conditionalFormatting sqref="Z3:Z7">
    <cfRule type="top10" dxfId="7" priority="6" rank="1"/>
    <cfRule type="top10" dxfId="6" priority="32" bottom="1" rank="1"/>
  </conditionalFormatting>
  <conditionalFormatting sqref="AA3:AA7">
    <cfRule type="top10" dxfId="5" priority="5" rank="1"/>
    <cfRule type="top10" dxfId="4" priority="31" bottom="1" rank="1"/>
  </conditionalFormatting>
  <conditionalFormatting sqref="AB3:AB7">
    <cfRule type="top10" dxfId="3" priority="4" rank="1"/>
    <cfRule type="top10" dxfId="2" priority="30" bottom="1" rank="1"/>
  </conditionalFormatting>
  <conditionalFormatting sqref="AC3:AC7">
    <cfRule type="top10" dxfId="1" priority="3" rank="1"/>
    <cfRule type="top10" dxfId="0" priority="29" bottom="1" rank="1"/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1AD9-D617-4526-9CED-5984009C3E61}">
  <dimension ref="A1:I17"/>
  <sheetViews>
    <sheetView workbookViewId="0">
      <selection activeCell="J10" sqref="J10"/>
    </sheetView>
  </sheetViews>
  <sheetFormatPr defaultRowHeight="15" x14ac:dyDescent="0.25"/>
  <cols>
    <col min="1" max="1" width="4.7109375" bestFit="1" customWidth="1"/>
    <col min="2" max="2" width="18.7109375" bestFit="1" customWidth="1"/>
    <col min="3" max="3" width="9.5703125" bestFit="1" customWidth="1"/>
    <col min="4" max="7" width="13.7109375" customWidth="1"/>
  </cols>
  <sheetData>
    <row r="1" spans="1:9" ht="19.5" thickBot="1" x14ac:dyDescent="0.3">
      <c r="A1" s="116" t="s">
        <v>261</v>
      </c>
      <c r="B1" s="116"/>
      <c r="C1" s="116"/>
      <c r="D1" s="117" t="s">
        <v>256</v>
      </c>
      <c r="E1" s="117"/>
      <c r="F1" s="117"/>
      <c r="G1" s="117"/>
    </row>
    <row r="2" spans="1:9" ht="15.75" thickBot="1" x14ac:dyDescent="0.3">
      <c r="A2" s="116"/>
      <c r="B2" s="116"/>
      <c r="C2" s="116"/>
      <c r="D2" s="78" t="s">
        <v>112</v>
      </c>
      <c r="E2" s="79" t="s">
        <v>116</v>
      </c>
      <c r="F2" s="80" t="s">
        <v>259</v>
      </c>
      <c r="G2" s="81" t="s">
        <v>262</v>
      </c>
    </row>
    <row r="3" spans="1:9" ht="15" customHeight="1" x14ac:dyDescent="0.25">
      <c r="A3" s="118" t="s">
        <v>260</v>
      </c>
      <c r="B3" s="119" t="s">
        <v>112</v>
      </c>
      <c r="C3" s="82" t="s">
        <v>200</v>
      </c>
      <c r="D3" s="77">
        <f>'Force information'!O7</f>
        <v>0.66666666666666663</v>
      </c>
      <c r="E3" s="77">
        <f>'Force information'!S7</f>
        <v>1</v>
      </c>
      <c r="F3" s="77" t="str">
        <f>'Force information'!W7</f>
        <v>-</v>
      </c>
      <c r="G3" s="85">
        <f>'Force information'!AA7</f>
        <v>0.5</v>
      </c>
      <c r="H3" s="76"/>
      <c r="I3" s="76"/>
    </row>
    <row r="4" spans="1:9" ht="18.75" customHeight="1" x14ac:dyDescent="0.25">
      <c r="A4" s="118"/>
      <c r="B4" s="120"/>
      <c r="C4" s="83" t="s">
        <v>201</v>
      </c>
      <c r="D4" s="86">
        <f>'Force information'!P7</f>
        <v>1</v>
      </c>
      <c r="E4" s="86">
        <f>'Force information'!T7</f>
        <v>1</v>
      </c>
      <c r="F4" s="86" t="str">
        <f>'Force information'!X7</f>
        <v>-</v>
      </c>
      <c r="G4" s="87" t="str">
        <f>'Force information'!AB7</f>
        <v>-</v>
      </c>
      <c r="H4" s="76"/>
      <c r="I4" s="76"/>
    </row>
    <row r="5" spans="1:9" ht="19.5" customHeight="1" thickBot="1" x14ac:dyDescent="0.3">
      <c r="A5" s="118"/>
      <c r="B5" s="121"/>
      <c r="C5" s="84" t="s">
        <v>202</v>
      </c>
      <c r="D5" s="88">
        <f>'Force information'!Q7</f>
        <v>0.16666666666666666</v>
      </c>
      <c r="E5" s="88">
        <f>'Force information'!U7</f>
        <v>0.5</v>
      </c>
      <c r="F5" s="88">
        <f>'Force information'!Y7</f>
        <v>0.5</v>
      </c>
      <c r="G5" s="89">
        <f>'Force information'!AC7</f>
        <v>0.22222222222222221</v>
      </c>
      <c r="H5" s="76"/>
      <c r="I5" s="76"/>
    </row>
    <row r="6" spans="1:9" ht="18.75" customHeight="1" x14ac:dyDescent="0.25">
      <c r="A6" s="118"/>
      <c r="B6" s="122" t="s">
        <v>116</v>
      </c>
      <c r="C6" s="82" t="s">
        <v>200</v>
      </c>
      <c r="D6" s="77">
        <f>'Force information'!O6</f>
        <v>0</v>
      </c>
      <c r="E6" s="77">
        <f>'Force information'!S6</f>
        <v>0.5714285714285714</v>
      </c>
      <c r="F6" s="77">
        <f>'Force information'!W6</f>
        <v>0.2</v>
      </c>
      <c r="G6" s="85">
        <f>'Force information'!AA6</f>
        <v>0.33333333333333331</v>
      </c>
      <c r="H6" s="76"/>
      <c r="I6" s="76"/>
    </row>
    <row r="7" spans="1:9" ht="18.75" customHeight="1" x14ac:dyDescent="0.25">
      <c r="A7" s="118"/>
      <c r="B7" s="123"/>
      <c r="C7" s="83" t="s">
        <v>201</v>
      </c>
      <c r="D7" s="86">
        <f>'Force information'!P6</f>
        <v>0.25</v>
      </c>
      <c r="E7" s="86">
        <f>'Force information'!T6</f>
        <v>0.5</v>
      </c>
      <c r="F7" s="86" t="str">
        <f>'Force information'!X6</f>
        <v>-</v>
      </c>
      <c r="G7" s="87">
        <f>'Force information'!AB6</f>
        <v>0.66666666666666663</v>
      </c>
      <c r="H7" s="76"/>
      <c r="I7" s="76"/>
    </row>
    <row r="8" spans="1:9" ht="19.5" customHeight="1" thickBot="1" x14ac:dyDescent="0.3">
      <c r="A8" s="118"/>
      <c r="B8" s="124"/>
      <c r="C8" s="84" t="s">
        <v>202</v>
      </c>
      <c r="D8" s="88">
        <f>'Force information'!Q6</f>
        <v>0.5</v>
      </c>
      <c r="E8" s="88">
        <f>'Force information'!U6</f>
        <v>0</v>
      </c>
      <c r="F8" s="88" t="str">
        <f>'Force information'!Y6</f>
        <v>-</v>
      </c>
      <c r="G8" s="89" t="str">
        <f>'Force information'!AC6</f>
        <v>-</v>
      </c>
      <c r="H8" s="76"/>
      <c r="I8" s="76"/>
    </row>
    <row r="9" spans="1:9" ht="18.75" customHeight="1" x14ac:dyDescent="0.25">
      <c r="A9" s="118"/>
      <c r="B9" s="125" t="s">
        <v>259</v>
      </c>
      <c r="C9" s="82" t="s">
        <v>200</v>
      </c>
      <c r="D9" s="77">
        <f>'Force information'!O4</f>
        <v>0</v>
      </c>
      <c r="E9" s="77">
        <f>'Force information'!S4</f>
        <v>0.5</v>
      </c>
      <c r="F9" s="77" t="str">
        <f>'Force information'!W4</f>
        <v>-</v>
      </c>
      <c r="G9" s="85">
        <f>'Force information'!AA4</f>
        <v>0</v>
      </c>
      <c r="H9" s="76"/>
      <c r="I9" s="76"/>
    </row>
    <row r="10" spans="1:9" ht="18.75" customHeight="1" x14ac:dyDescent="0.25">
      <c r="A10" s="118"/>
      <c r="B10" s="126"/>
      <c r="C10" s="83" t="s">
        <v>201</v>
      </c>
      <c r="D10" s="86">
        <f>'Force information'!P4</f>
        <v>1</v>
      </c>
      <c r="E10" s="86">
        <f>'Force information'!T4</f>
        <v>0.33333333333333331</v>
      </c>
      <c r="F10" s="86">
        <f>'Force information'!X4</f>
        <v>1</v>
      </c>
      <c r="G10" s="87">
        <f>'Force information'!AB4</f>
        <v>1</v>
      </c>
      <c r="H10" s="76"/>
      <c r="I10" s="76"/>
    </row>
    <row r="11" spans="1:9" ht="19.5" customHeight="1" thickBot="1" x14ac:dyDescent="0.3">
      <c r="A11" s="118"/>
      <c r="B11" s="127"/>
      <c r="C11" s="84" t="s">
        <v>202</v>
      </c>
      <c r="D11" s="88" t="str">
        <f>'Force information'!Q4</f>
        <v>-</v>
      </c>
      <c r="E11" s="88" t="str">
        <f>'Force information'!U4</f>
        <v>-</v>
      </c>
      <c r="F11" s="88">
        <f>'Force information'!Y4</f>
        <v>0</v>
      </c>
      <c r="G11" s="89" t="str">
        <f>'Force information'!AC4</f>
        <v>-</v>
      </c>
      <c r="H11" s="76"/>
      <c r="I11" s="76"/>
    </row>
    <row r="12" spans="1:9" ht="18.75" customHeight="1" x14ac:dyDescent="0.25">
      <c r="A12" s="118"/>
      <c r="B12" s="113" t="s">
        <v>257</v>
      </c>
      <c r="C12" s="82" t="s">
        <v>200</v>
      </c>
      <c r="D12" s="77">
        <f>'Force information'!O5</f>
        <v>0</v>
      </c>
      <c r="E12" s="77" t="str">
        <f>'Force information'!S5</f>
        <v>-</v>
      </c>
      <c r="F12" s="77" t="str">
        <f>'Force information'!W5</f>
        <v>-</v>
      </c>
      <c r="G12" s="85">
        <f>'Force information'!AA5</f>
        <v>1</v>
      </c>
      <c r="H12" s="76"/>
      <c r="I12" s="76"/>
    </row>
    <row r="13" spans="1:9" ht="18.75" customHeight="1" x14ac:dyDescent="0.25">
      <c r="A13" s="118"/>
      <c r="B13" s="114"/>
      <c r="C13" s="83" t="s">
        <v>201</v>
      </c>
      <c r="D13" s="86">
        <f>'Force information'!P6</f>
        <v>0.25</v>
      </c>
      <c r="E13" s="86">
        <f>'Force information'!T5</f>
        <v>0</v>
      </c>
      <c r="F13" s="86">
        <f>'Force information'!X5</f>
        <v>0.5</v>
      </c>
      <c r="G13" s="87">
        <f>'Force information'!AB5</f>
        <v>0</v>
      </c>
      <c r="H13" s="76"/>
      <c r="I13" s="76"/>
    </row>
    <row r="14" spans="1:9" ht="19.5" customHeight="1" thickBot="1" x14ac:dyDescent="0.3">
      <c r="A14" s="118"/>
      <c r="B14" s="115"/>
      <c r="C14" s="84" t="s">
        <v>202</v>
      </c>
      <c r="D14" s="88">
        <f>'Force information'!Q6</f>
        <v>0.5</v>
      </c>
      <c r="E14" s="88">
        <f>'Force information'!U5</f>
        <v>0.6</v>
      </c>
      <c r="F14" s="88" t="str">
        <f>'Force information'!Y5</f>
        <v>-</v>
      </c>
      <c r="G14" s="89">
        <f>'Force information'!AC5</f>
        <v>1</v>
      </c>
      <c r="H14" s="76"/>
      <c r="I14" s="76"/>
    </row>
    <row r="15" spans="1:9" ht="18.75" customHeight="1" x14ac:dyDescent="0.25">
      <c r="A15" s="118"/>
      <c r="B15" s="113" t="s">
        <v>258</v>
      </c>
      <c r="C15" s="82" t="s">
        <v>200</v>
      </c>
      <c r="D15" s="77" t="str">
        <f>'Force information'!O3</f>
        <v>-</v>
      </c>
      <c r="E15" s="77" t="str">
        <f>'Force information'!S3</f>
        <v>-</v>
      </c>
      <c r="F15" s="77" t="str">
        <f>'Force information'!W3</f>
        <v>-</v>
      </c>
      <c r="G15" s="85" t="str">
        <f>'Force information'!AA3</f>
        <v>-</v>
      </c>
      <c r="H15" s="76"/>
      <c r="I15" s="76"/>
    </row>
    <row r="16" spans="1:9" ht="18.75" customHeight="1" x14ac:dyDescent="0.25">
      <c r="A16" s="118"/>
      <c r="B16" s="114"/>
      <c r="C16" s="83" t="s">
        <v>201</v>
      </c>
      <c r="D16" s="86">
        <f>'Force information'!P3</f>
        <v>0</v>
      </c>
      <c r="E16" s="86">
        <f>'Force information'!T3</f>
        <v>1</v>
      </c>
      <c r="F16" s="86" t="str">
        <f>'Force information'!X3</f>
        <v>-</v>
      </c>
      <c r="G16" s="87" t="str">
        <f>'Force information'!AB3</f>
        <v>-</v>
      </c>
      <c r="H16" s="76"/>
      <c r="I16" s="76"/>
    </row>
    <row r="17" spans="1:9" ht="19.5" customHeight="1" thickBot="1" x14ac:dyDescent="0.3">
      <c r="A17" s="118"/>
      <c r="B17" s="115"/>
      <c r="C17" s="84" t="s">
        <v>202</v>
      </c>
      <c r="D17" s="88" t="str">
        <f>'Force information'!Q3</f>
        <v>-</v>
      </c>
      <c r="E17" s="88" t="str">
        <f>'Force information'!U3</f>
        <v>-</v>
      </c>
      <c r="F17" s="88" t="str">
        <f>'Force information'!Y3</f>
        <v>-</v>
      </c>
      <c r="G17" s="89">
        <f>'Force information'!AC3</f>
        <v>0</v>
      </c>
      <c r="H17" s="76"/>
      <c r="I17" s="76"/>
    </row>
  </sheetData>
  <sheetProtection sheet="1" objects="1" scenarios="1"/>
  <mergeCells count="8">
    <mergeCell ref="B15:B17"/>
    <mergeCell ref="A1:C2"/>
    <mergeCell ref="D1:G1"/>
    <mergeCell ref="A3:A17"/>
    <mergeCell ref="B3:B5"/>
    <mergeCell ref="B6:B8"/>
    <mergeCell ref="B9:B11"/>
    <mergeCell ref="B12:B14"/>
  </mergeCells>
  <conditionalFormatting sqref="D3:D5">
    <cfRule type="colorScale" priority="21">
      <colorScale>
        <cfvo type="min"/>
        <cfvo type="max"/>
        <color rgb="FFFCFCFF"/>
        <color rgb="FF63BE7B"/>
      </colorScale>
    </cfRule>
  </conditionalFormatting>
  <conditionalFormatting sqref="D6:D8">
    <cfRule type="colorScale" priority="17">
      <colorScale>
        <cfvo type="min"/>
        <cfvo type="max"/>
        <color rgb="FFFCFCFF"/>
        <color rgb="FF63BE7B"/>
      </colorScale>
    </cfRule>
  </conditionalFormatting>
  <conditionalFormatting sqref="D9:D11">
    <cfRule type="colorScale" priority="13">
      <colorScale>
        <cfvo type="min"/>
        <cfvo type="max"/>
        <color rgb="FFFCFCFF"/>
        <color rgb="FF63BE7B"/>
      </colorScale>
    </cfRule>
  </conditionalFormatting>
  <conditionalFormatting sqref="D12:D14">
    <cfRule type="colorScale" priority="9">
      <colorScale>
        <cfvo type="min"/>
        <cfvo type="max"/>
        <color rgb="FFFCFCFF"/>
        <color rgb="FF63BE7B"/>
      </colorScale>
    </cfRule>
  </conditionalFormatting>
  <conditionalFormatting sqref="E3:E5">
    <cfRule type="colorScale" priority="1">
      <colorScale>
        <cfvo type="min"/>
        <cfvo type="max"/>
        <color rgb="FFFCFCFF"/>
        <color rgb="FF63BE7B"/>
      </colorScale>
    </cfRule>
  </conditionalFormatting>
  <conditionalFormatting sqref="E6:E8">
    <cfRule type="colorScale" priority="16">
      <colorScale>
        <cfvo type="min"/>
        <cfvo type="max"/>
        <color rgb="FFFCFCFF"/>
        <color rgb="FF63BE7B"/>
      </colorScale>
    </cfRule>
  </conditionalFormatting>
  <conditionalFormatting sqref="E9:E11">
    <cfRule type="colorScale" priority="12">
      <colorScale>
        <cfvo type="min"/>
        <cfvo type="max"/>
        <color rgb="FFFCFCFF"/>
        <color rgb="FF63BE7B"/>
      </colorScale>
    </cfRule>
  </conditionalFormatting>
  <conditionalFormatting sqref="E12:E14">
    <cfRule type="colorScale" priority="8">
      <colorScale>
        <cfvo type="min"/>
        <cfvo type="max"/>
        <color rgb="FFFCFCFF"/>
        <color rgb="FF63BE7B"/>
      </colorScale>
    </cfRule>
  </conditionalFormatting>
  <conditionalFormatting sqref="E15:E17">
    <cfRule type="colorScale" priority="4">
      <colorScale>
        <cfvo type="min"/>
        <cfvo type="max"/>
        <color rgb="FFFCFCFF"/>
        <color rgb="FF63BE7B"/>
      </colorScale>
    </cfRule>
  </conditionalFormatting>
  <conditionalFormatting sqref="F3:F5">
    <cfRule type="colorScale" priority="19">
      <colorScale>
        <cfvo type="min"/>
        <cfvo type="max"/>
        <color rgb="FFFCFCFF"/>
        <color rgb="FF63BE7B"/>
      </colorScale>
    </cfRule>
  </conditionalFormatting>
  <conditionalFormatting sqref="F6:F8">
    <cfRule type="colorScale" priority="15">
      <colorScale>
        <cfvo type="min"/>
        <cfvo type="max"/>
        <color rgb="FFFCFCFF"/>
        <color rgb="FF63BE7B"/>
      </colorScale>
    </cfRule>
  </conditionalFormatting>
  <conditionalFormatting sqref="F9:F11">
    <cfRule type="colorScale" priority="11">
      <colorScale>
        <cfvo type="min"/>
        <cfvo type="max"/>
        <color rgb="FFFCFCFF"/>
        <color rgb="FF63BE7B"/>
      </colorScale>
    </cfRule>
  </conditionalFormatting>
  <conditionalFormatting sqref="F12:F14">
    <cfRule type="colorScale" priority="7">
      <colorScale>
        <cfvo type="min"/>
        <cfvo type="max"/>
        <color rgb="FFFCFCFF"/>
        <color rgb="FF63BE7B"/>
      </colorScale>
    </cfRule>
  </conditionalFormatting>
  <conditionalFormatting sqref="F15:F17">
    <cfRule type="colorScale" priority="3">
      <colorScale>
        <cfvo type="min"/>
        <cfvo type="max"/>
        <color rgb="FFFCFCFF"/>
        <color rgb="FF63BE7B"/>
      </colorScale>
    </cfRule>
  </conditionalFormatting>
  <conditionalFormatting sqref="G3:G5">
    <cfRule type="colorScale" priority="18">
      <colorScale>
        <cfvo type="min"/>
        <cfvo type="max"/>
        <color rgb="FFFCFCFF"/>
        <color rgb="FF63BE7B"/>
      </colorScale>
    </cfRule>
  </conditionalFormatting>
  <conditionalFormatting sqref="G6:G8">
    <cfRule type="colorScale" priority="14">
      <colorScale>
        <cfvo type="min"/>
        <cfvo type="max"/>
        <color rgb="FFFCFCFF"/>
        <color rgb="FF63BE7B"/>
      </colorScale>
    </cfRule>
  </conditionalFormatting>
  <conditionalFormatting sqref="G9:G11">
    <cfRule type="colorScale" priority="10">
      <colorScale>
        <cfvo type="min"/>
        <cfvo type="max"/>
        <color rgb="FFFCFCFF"/>
        <color rgb="FF63BE7B"/>
      </colorScale>
    </cfRule>
  </conditionalFormatting>
  <conditionalFormatting sqref="G12:G14">
    <cfRule type="colorScale" priority="6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6876-44D6-4A48-8030-565E46D322D5}">
  <dimension ref="A1:AF63"/>
  <sheetViews>
    <sheetView topLeftCell="Q1" workbookViewId="0">
      <selection activeCell="AC5" sqref="AC5"/>
    </sheetView>
  </sheetViews>
  <sheetFormatPr defaultRowHeight="15" x14ac:dyDescent="0.25"/>
  <cols>
    <col min="10" max="10" width="9.140625" customWidth="1"/>
    <col min="17" max="17" width="9.140625" customWidth="1"/>
    <col min="21" max="22" width="15.5703125" bestFit="1" customWidth="1"/>
    <col min="23" max="23" width="12" customWidth="1"/>
    <col min="25" max="26" width="41" bestFit="1" customWidth="1"/>
  </cols>
  <sheetData>
    <row r="1" spans="1:32" x14ac:dyDescent="0.25">
      <c r="A1" t="str" cm="1">
        <f t="array" ref="A1:T63">data</f>
        <v>round</v>
      </c>
      <c r="B1" t="str">
        <v>turns_played</v>
      </c>
      <c r="C1" t="str">
        <v>mission</v>
      </c>
      <c r="D1" t="str">
        <v>first_turn</v>
      </c>
      <c r="E1" t="str">
        <v>outcome</v>
      </c>
      <c r="F1" t="str">
        <v>winner</v>
      </c>
      <c r="G1" t="str">
        <v>player_a_team</v>
      </c>
      <c r="H1" t="str">
        <v>player_a_user_id</v>
      </c>
      <c r="I1" t="str">
        <v>player_a_name</v>
      </c>
      <c r="J1" t="str">
        <v>player_a_battle_plan</v>
      </c>
      <c r="K1" t="str">
        <v>player_a_units_lost</v>
      </c>
      <c r="L1" t="str">
        <v>player_a_score</v>
      </c>
      <c r="M1" t="str">
        <v>player_a_role</v>
      </c>
      <c r="N1" t="str">
        <v>player_b_team</v>
      </c>
      <c r="O1" t="str">
        <v>player_b_user_id</v>
      </c>
      <c r="P1" t="str">
        <v>player_b_name</v>
      </c>
      <c r="Q1" t="str">
        <v>player_b_battle_plan</v>
      </c>
      <c r="R1" t="str">
        <v>player_b_units_lost</v>
      </c>
      <c r="S1" t="str">
        <v>player_b_score</v>
      </c>
      <c r="T1" t="str">
        <v>player_b_role</v>
      </c>
      <c r="U1" t="s">
        <v>162</v>
      </c>
      <c r="V1" t="s">
        <v>163</v>
      </c>
      <c r="W1" t="s">
        <v>164</v>
      </c>
      <c r="X1" t="s">
        <v>165</v>
      </c>
      <c r="Y1" t="s">
        <v>167</v>
      </c>
      <c r="Z1" t="s">
        <v>169</v>
      </c>
      <c r="AA1" t="s">
        <v>168</v>
      </c>
      <c r="AB1" t="s">
        <v>170</v>
      </c>
      <c r="AC1" t="s">
        <v>174</v>
      </c>
      <c r="AD1" t="s">
        <v>175</v>
      </c>
      <c r="AE1" t="s">
        <v>224</v>
      </c>
      <c r="AF1" t="s">
        <v>225</v>
      </c>
    </row>
    <row r="2" spans="1:32" x14ac:dyDescent="0.25">
      <c r="A2">
        <v>5</v>
      </c>
      <c r="B2">
        <v>6</v>
      </c>
      <c r="C2" t="str">
        <v>escape</v>
      </c>
      <c r="D2" t="str">
        <v>b</v>
      </c>
      <c r="E2" t="str">
        <v>attack_repelled</v>
      </c>
      <c r="F2" t="str">
        <v>b</v>
      </c>
      <c r="G2">
        <v>0</v>
      </c>
      <c r="H2" t="str">
        <v>m178pgzek563414k5ppqxnqfph85kmqk</v>
      </c>
      <c r="I2" t="str">
        <v>Chris Stone</v>
      </c>
      <c r="J2" t="str">
        <v>attack</v>
      </c>
      <c r="K2">
        <v>3</v>
      </c>
      <c r="L2">
        <v>2</v>
      </c>
      <c r="M2" t="str">
        <v>attacker</v>
      </c>
      <c r="N2">
        <v>0</v>
      </c>
      <c r="O2" t="str">
        <v>m1741jc3ysnb87stgxxpfx159s7qjzs9</v>
      </c>
      <c r="P2" t="str">
        <v>Gareth Lewis</v>
      </c>
      <c r="Q2" t="str">
        <v>maneuver</v>
      </c>
      <c r="R2">
        <v>2</v>
      </c>
      <c r="S2">
        <v>7</v>
      </c>
      <c r="T2" t="str">
        <v>defender</v>
      </c>
      <c r="U2" t="str" cm="1">
        <f t="array" ref="U2:U63">VLOOKUP(I2:I63,'Player-Force'!$A$3:$K$28,3,0)</f>
        <v>Axis</v>
      </c>
      <c r="V2" t="str" cm="1">
        <f t="array" ref="V2:V63">VLOOKUP(P2:P63,'Player-Force'!$A$3:$K$28,3,0)</f>
        <v>Axis</v>
      </c>
      <c r="W2" t="str">
        <f>IF(OR(OR(U2="Allies",U2="Axis"),AND(NOT(ISERROR(SEARCH("Primary",U2))),ISERROR(SEARCH(V2,U2)))),VLOOKUP(I2,'Player-Force'!$A$3:$K$28,4,0),IF(U2=V2,AC2,VLOOKUP(I2,'Player-Force'!$A$3:$K$28,8,0)))</f>
        <v>German: Bulge</v>
      </c>
      <c r="X2" t="str">
        <f>IF(OR(OR(V2="Allies",V2="Axis"),AND(NOT(ISERROR(SEARCH("Primary",V2))),ISERROR(SEARCH(U2,V2)))),VLOOKUP(P2,'Player-Force'!$A$3:$K$28,4,0),IF(V2=U2,AD2,VLOOKUP(P2,'Player-Force'!$A$3:$K$28,8,0)))</f>
        <v>German: D-Day</v>
      </c>
      <c r="Y2" t="str" cm="1">
        <f t="array" ref="Y2">IF(W2="NOT RECORDED","",IF(VLOOKUP(I2,'Player-Force'!$A$3:$K$28,MATCH(W2,_xlfn._xlws.FILTER('Player-Force'!$A$3:$K$28,'Player-Force'!$A$3:$A$28=I2),0)+2,0)=0,"",VLOOKUP(I2,'Player-Force'!$A$3:$K$28,MATCH(W2,_xlfn._xlws.FILTER('Player-Force'!$A$3:$K$28,'Player-Force'!$A$3:$A$28=I2),0)+2,0)))</f>
        <v>Volksgrenadier Company</v>
      </c>
      <c r="Z2" t="str" cm="1">
        <f t="array" ref="Z2">IF(X2="NOT RECORDED","",IF(VLOOKUP(P2,'Player-Force'!$A$3:$K$28,MATCH(X2,_xlfn._xlws.FILTER('Player-Force'!$A$3:$K$28,'Player-Force'!$A$3:$A$28=P2),0)+2,0)=0,"",VLOOKUP(P2,'Player-Force'!$A$3:$K$28,MATCH(X2,_xlfn._xlws.FILTER('Player-Force'!$A$3:$K$28,'Player-Force'!$A$3:$A$28=P2),0)+2,0)))</f>
        <v>Beach Defence Grenadier Company</v>
      </c>
      <c r="AA2" t="str" cm="1">
        <f t="array" ref="AA2">IF(W2="NOT RECORDED","",IF(VLOOKUP(I2,'Player-Force'!$A$3:$K$28,MATCH(W2,_xlfn._xlws.FILTER('Player-Force'!$A$3:$K$28,'Player-Force'!$A$3:$A$28=I2),0)+3,0)=0,"",VLOOKUP(I2,'Player-Force'!$A$3:$K$28,MATCH(W2,_xlfn._xlws.FILTER('Player-Force'!$A$3:$K$28,'Player-Force'!$A$3:$A$28=I2),0)+3,0)))</f>
        <v/>
      </c>
      <c r="AB2" t="str" cm="1">
        <f t="array" ref="AB2">IF(X2="NOT RECORDED","",IF(VLOOKUP(P2,'Player-Force'!$A$3:$K$28,MATCH(X2,_xlfn._xlws.FILTER('Player-Force'!$A$3:$K$28,'Player-Force'!$A$3:$A$28=P2),0)+3,0)=0,"",VLOOKUP(P2,'Player-Force'!$A$3:$K$28,MATCH(X2,_xlfn._xlws.FILTER('Player-Force'!$A$3:$K$28,'Player-Force'!$A$3:$A$28=P2),0)+3,0)))</f>
        <v/>
      </c>
      <c r="AE2" t="str">
        <f t="shared" ref="AE2:AE33" si="0">IF(VLOOKUP(I2,player_force,4,0)=W2,VLOOKUP(I2,player_force,5,0),VLOOKUP(I2,player_force,9,0))</f>
        <v>Infantry</v>
      </c>
      <c r="AF2" t="str">
        <f t="shared" ref="AF2:AF33" si="1">IF(VLOOKUP(P2,player_force,4,0)=X2,VLOOKUP(P2,player_force,5,0),VLOOKUP(P2,player_force,9,0))</f>
        <v>Infantry</v>
      </c>
    </row>
    <row r="3" spans="1:32" x14ac:dyDescent="0.25">
      <c r="A3">
        <v>5</v>
      </c>
      <c r="B3">
        <v>6</v>
      </c>
      <c r="C3" t="str">
        <v>encounter</v>
      </c>
      <c r="D3" t="str">
        <v>a</v>
      </c>
      <c r="E3" t="str">
        <v>time_out</v>
      </c>
      <c r="F3" t="str">
        <v>none</v>
      </c>
      <c r="G3">
        <v>0</v>
      </c>
      <c r="H3" t="str">
        <v>m17d9e98h7dzkz9ks8e8tn0jmh7ncmkw</v>
      </c>
      <c r="I3" t="str">
        <v>Alex Armitage</v>
      </c>
      <c r="J3" t="str">
        <v>defend</v>
      </c>
      <c r="K3">
        <v>3</v>
      </c>
      <c r="L3">
        <v>3</v>
      </c>
      <c r="M3" t="str">
        <v>attacker</v>
      </c>
      <c r="N3">
        <v>0</v>
      </c>
      <c r="O3" t="str">
        <v>m17dvz8k468ssw64qe57e65y9186rwt8</v>
      </c>
      <c r="P3" t="str">
        <v>Keith Martin-Smith</v>
      </c>
      <c r="Q3" t="str">
        <v>defend</v>
      </c>
      <c r="R3">
        <v>3</v>
      </c>
      <c r="S3">
        <v>3</v>
      </c>
      <c r="T3" t="str">
        <v>defender</v>
      </c>
      <c r="U3" t="str">
        <v>Axis</v>
      </c>
      <c r="V3" t="str">
        <v>Allies</v>
      </c>
      <c r="W3" t="str">
        <f>IF(OR(OR(U3="Allies",U3="Axis"),AND(NOT(ISERROR(SEARCH("Primary",U3))),ISERROR(SEARCH(V3,U3)))),VLOOKUP(I3,'Player-Force'!$A$3:$K$28,4,0),IF(U3=V3,AC3,VLOOKUP(I3,'Player-Force'!$A$3:$K$28,8,0)))</f>
        <v>German: Fortress Europe</v>
      </c>
      <c r="X3" t="str">
        <f>IF(OR(OR(V3="Allies",V3="Axis"),AND(NOT(ISERROR(SEARCH("Primary",V3))),ISERROR(SEARCH(U3,V3)))),VLOOKUP(P3,'Player-Force'!$A$3:$K$28,4,0),IF(V3=U3,AD3,VLOOKUP(P3,'Player-Force'!$A$3:$K$28,8,0)))</f>
        <v>Soviet: Bagration</v>
      </c>
      <c r="Y3" t="str" cm="1">
        <f t="array" ref="Y3">IF(W3="NOT RECORDED","",IF(VLOOKUP(I3,'Player-Force'!$A$3:$K$28,MATCH(W3,_xlfn._xlws.FILTER('Player-Force'!$A$3:$K$28,'Player-Force'!$A$3:$A$28=I3),0)+2,0)=0,"",VLOOKUP(I3,'Player-Force'!$A$3:$K$28,MATCH(W3,_xlfn._xlws.FILTER('Player-Force'!$A$3:$K$28,'Player-Force'!$A$3:$A$28=I3),0)+2,0)))</f>
        <v>Berlin Battle Group</v>
      </c>
      <c r="Z3" t="str" cm="1">
        <f t="array" ref="Z3">IF(X3="NOT RECORDED","",IF(VLOOKUP(P3,'Player-Force'!$A$3:$K$28,MATCH(X3,_xlfn._xlws.FILTER('Player-Force'!$A$3:$K$28,'Player-Force'!$A$3:$A$28=P3),0)+2,0)=0,"",VLOOKUP(P3,'Player-Force'!$A$3:$K$28,MATCH(X3,_xlfn._xlws.FILTER('Player-Force'!$A$3:$K$28,'Player-Force'!$A$3:$A$28=P3),0)+2,0)))</f>
        <v>Medium SP Artillery Regiment</v>
      </c>
      <c r="AA3" t="str" cm="1">
        <f t="array" ref="AA3">IF(W3="NOT RECORDED","",IF(VLOOKUP(I3,'Player-Force'!$A$3:$K$28,MATCH(W3,_xlfn._xlws.FILTER('Player-Force'!$A$3:$K$28,'Player-Force'!$A$3:$A$28=I3),0)+3,0)=0,"",VLOOKUP(I3,'Player-Force'!$A$3:$K$28,MATCH(W3,_xlfn._xlws.FILTER('Player-Force'!$A$3:$K$28,'Player-Force'!$A$3:$A$28=I3),0)+3,0)))</f>
        <v/>
      </c>
      <c r="AB3" t="str" cm="1">
        <f t="array" ref="AB3">IF(X3="NOT RECORDED","",IF(VLOOKUP(P3,'Player-Force'!$A$3:$K$28,MATCH(X3,_xlfn._xlws.FILTER('Player-Force'!$A$3:$K$28,'Player-Force'!$A$3:$A$28=P3),0)+3,0)=0,"",VLOOKUP(P3,'Player-Force'!$A$3:$K$28,MATCH(X3,_xlfn._xlws.FILTER('Player-Force'!$A$3:$K$28,'Player-Force'!$A$3:$A$28=P3),0)+3,0)))</f>
        <v>Hero Motor Rifle Battalion</v>
      </c>
      <c r="AE3" t="str">
        <f t="shared" si="0"/>
        <v>Infantry</v>
      </c>
      <c r="AF3" t="str">
        <f t="shared" si="1"/>
        <v>Combined Tank/Infantry</v>
      </c>
    </row>
    <row r="4" spans="1:32" x14ac:dyDescent="0.25">
      <c r="A4">
        <v>5</v>
      </c>
      <c r="B4">
        <v>6</v>
      </c>
      <c r="C4" t="str">
        <v>no_retreat</v>
      </c>
      <c r="D4" t="str">
        <v>b</v>
      </c>
      <c r="E4" t="str">
        <v>attack_repelled</v>
      </c>
      <c r="F4" t="str">
        <v>a</v>
      </c>
      <c r="G4">
        <v>0</v>
      </c>
      <c r="H4" t="str">
        <v>m17313rf66ezwenk8k3rjjzkgs86n1ws</v>
      </c>
      <c r="I4" t="str">
        <v>Mark Taylor</v>
      </c>
      <c r="J4" t="str">
        <v>defend</v>
      </c>
      <c r="K4">
        <v>1</v>
      </c>
      <c r="L4">
        <v>8</v>
      </c>
      <c r="M4" t="str">
        <v>defender</v>
      </c>
      <c r="N4">
        <v>0</v>
      </c>
      <c r="O4" t="str">
        <v>m176rx4162gqb0r56mkm423ckh7mms1f</v>
      </c>
      <c r="P4" t="str">
        <v>Andy Somerville</v>
      </c>
      <c r="Q4" t="str">
        <v>maneuver</v>
      </c>
      <c r="R4">
        <v>5</v>
      </c>
      <c r="S4">
        <v>1</v>
      </c>
      <c r="T4" t="str">
        <v>attacker</v>
      </c>
      <c r="U4" t="str">
        <v>Axis</v>
      </c>
      <c r="V4" t="str">
        <v>Primary Allies</v>
      </c>
      <c r="W4" t="str">
        <f>IF(OR(OR(U4="Allies",U4="Axis"),AND(NOT(ISERROR(SEARCH("Primary",U4))),ISERROR(SEARCH(V4,U4)))),VLOOKUP(I4,'Player-Force'!$A$3:$K$28,4,0),IF(U4=V4,AC4,VLOOKUP(I4,'Player-Force'!$A$3:$K$28,8,0)))</f>
        <v>German: Berlin</v>
      </c>
      <c r="X4" t="str">
        <f>IF(OR(OR(V4="Allies",V4="Axis"),AND(NOT(ISERROR(SEARCH("Primary",V4))),ISERROR(SEARCH(U4,V4)))),VLOOKUP(P4,'Player-Force'!$A$3:$K$28,4,0),IF(V4=U4,AD4,VLOOKUP(P4,'Player-Force'!$A$3:$K$28,8,0)))</f>
        <v>Soviet: Bagration</v>
      </c>
      <c r="Y4" t="str" cm="1">
        <f t="array" ref="Y4">IF(W4="NOT RECORDED","",IF(VLOOKUP(I4,'Player-Force'!$A$3:$K$28,MATCH(W4,_xlfn._xlws.FILTER('Player-Force'!$A$3:$K$28,'Player-Force'!$A$3:$A$28=I4),0)+2,0)=0,"",VLOOKUP(I4,'Player-Force'!$A$3:$K$28,MATCH(W4,_xlfn._xlws.FILTER('Player-Force'!$A$3:$K$28,'Player-Force'!$A$3:$A$28=I4),0)+2,0)))</f>
        <v>Panzer Battle Group</v>
      </c>
      <c r="Z4" t="str" cm="1">
        <f t="array" ref="Z4">IF(X4="NOT RECORDED","",IF(VLOOKUP(P4,'Player-Force'!$A$3:$K$28,MATCH(X4,_xlfn._xlws.FILTER('Player-Force'!$A$3:$K$28,'Player-Force'!$A$3:$A$28=P4),0)+2,0)=0,"",VLOOKUP(P4,'Player-Force'!$A$3:$K$28,MATCH(X4,_xlfn._xlws.FILTER('Player-Force'!$A$3:$K$28,'Player-Force'!$A$3:$A$28=P4),0)+2,0)))</f>
        <v>IS-85 Guards Heavy Tank Regiment</v>
      </c>
      <c r="AA4" t="str" cm="1">
        <f t="array" ref="AA4">IF(W4="NOT RECORDED","",IF(VLOOKUP(I4,'Player-Force'!$A$3:$K$28,MATCH(W4,_xlfn._xlws.FILTER('Player-Force'!$A$3:$K$28,'Player-Force'!$A$3:$A$28=I4),0)+3,0)=0,"",VLOOKUP(I4,'Player-Force'!$A$3:$K$28,MATCH(W4,_xlfn._xlws.FILTER('Player-Force'!$A$3:$K$28,'Player-Force'!$A$3:$A$28=I4),0)+3,0)))</f>
        <v>Berlin Battle Group</v>
      </c>
      <c r="AB4" t="str" cm="1">
        <f t="array" ref="AB4">IF(X4="NOT RECORDED","",IF(VLOOKUP(P4,'Player-Force'!$A$3:$K$28,MATCH(X4,_xlfn._xlws.FILTER('Player-Force'!$A$3:$K$28,'Player-Force'!$A$3:$A$28=P4),0)+3,0)=0,"",VLOOKUP(P4,'Player-Force'!$A$3:$K$28,MATCH(X4,_xlfn._xlws.FILTER('Player-Force'!$A$3:$K$28,'Player-Force'!$A$3:$A$28=P4),0)+3,0)))</f>
        <v>Hero Motor Rifle Battalion</v>
      </c>
      <c r="AE4" t="str">
        <f t="shared" si="0"/>
        <v>Combined Tank/Infantry</v>
      </c>
      <c r="AF4" t="str">
        <f t="shared" si="1"/>
        <v>Combined Tank/Infantry</v>
      </c>
    </row>
    <row r="5" spans="1:32" x14ac:dyDescent="0.25">
      <c r="A5">
        <v>5</v>
      </c>
      <c r="B5">
        <v>8</v>
      </c>
      <c r="C5" t="str">
        <v>encounter</v>
      </c>
      <c r="D5" t="str">
        <v>a</v>
      </c>
      <c r="E5" t="str">
        <v>objective_taken</v>
      </c>
      <c r="F5" t="str">
        <v>b</v>
      </c>
      <c r="G5">
        <v>0</v>
      </c>
      <c r="H5" t="str">
        <v>m170dsrb9rxwb0p5r0shy7mdyd81v652</v>
      </c>
      <c r="I5" t="str">
        <v>Peter McCarroll</v>
      </c>
      <c r="J5" t="str">
        <v>attack</v>
      </c>
      <c r="K5">
        <v>4</v>
      </c>
      <c r="L5">
        <v>3</v>
      </c>
      <c r="M5" t="str">
        <v>attacker</v>
      </c>
      <c r="N5">
        <v>0</v>
      </c>
      <c r="O5" t="str">
        <v>m174j7e9f6tmr5tvp1018ymte1864gw1</v>
      </c>
      <c r="P5" t="str">
        <v>Frank Keast</v>
      </c>
      <c r="Q5" t="str">
        <v>attack</v>
      </c>
      <c r="R5">
        <v>3</v>
      </c>
      <c r="S5">
        <v>6</v>
      </c>
      <c r="T5" t="str">
        <v>defender</v>
      </c>
      <c r="U5" t="str">
        <v>Primary Allies</v>
      </c>
      <c r="V5" t="str">
        <v>Primary Allies</v>
      </c>
      <c r="W5" t="str">
        <f>IF(OR(OR(U5="Allies",U5="Axis"),AND(NOT(ISERROR(SEARCH("Primary",U5))),ISERROR(SEARCH(V5,U5)))),VLOOKUP(I5,'Player-Force'!$A$3:$K$28,4,0),IF(U5=V5,AC5,VLOOKUP(I5,'Player-Force'!$A$3:$K$28,8,0)))</f>
        <v>American: Bulge</v>
      </c>
      <c r="X5" t="str">
        <f>IF(OR(OR(V5="Allies",V5="Axis"),AND(NOT(ISERROR(SEARCH("Primary",V5))),ISERROR(SEARCH(U5,V5)))),VLOOKUP(P5,'Player-Force'!$A$3:$K$28,4,0),IF(V5=U5,AD5,VLOOKUP(P5,'Player-Force'!$A$3:$K$28,8,0)))</f>
        <v>German: Berlin</v>
      </c>
      <c r="Y5" t="str" cm="1">
        <f t="array" ref="Y5">IF(W5="NOT RECORDED","",IF(VLOOKUP(I5,'Player-Force'!$A$3:$K$28,MATCH(W5,_xlfn._xlws.FILTER('Player-Force'!$A$3:$K$28,'Player-Force'!$A$3:$A$28=I5),0)+2,0)=0,"",VLOOKUP(I5,'Player-Force'!$A$3:$K$28,MATCH(W5,_xlfn._xlws.FILTER('Player-Force'!$A$3:$K$28,'Player-Force'!$A$3:$A$28=I5),0)+2,0)))</f>
        <v>Volksgrenadier Company</v>
      </c>
      <c r="Z5" t="str" cm="1">
        <f t="array" ref="Z5">IF(X5="NOT RECORDED","",IF(VLOOKUP(P5,'Player-Force'!$A$3:$K$28,MATCH(X5,_xlfn._xlws.FILTER('Player-Force'!$A$3:$K$28,'Player-Force'!$A$3:$A$28=P5),0)+2,0)=0,"",VLOOKUP(P5,'Player-Force'!$A$3:$K$28,MATCH(X5,_xlfn._xlws.FILTER('Player-Force'!$A$3:$K$28,'Player-Force'!$A$3:$A$28=P5),0)+2,0)))</f>
        <v>Tank Training Company</v>
      </c>
      <c r="AA5" t="str" cm="1">
        <f t="array" ref="AA5">IF(W5="NOT RECORDED","",IF(VLOOKUP(I5,'Player-Force'!$A$3:$K$28,MATCH(W5,_xlfn._xlws.FILTER('Player-Force'!$A$3:$K$28,'Player-Force'!$A$3:$A$28=I5),0)+3,0)=0,"",VLOOKUP(I5,'Player-Force'!$A$3:$K$28,MATCH(W5,_xlfn._xlws.FILTER('Player-Force'!$A$3:$K$28,'Player-Force'!$A$3:$A$28=I5),0)+3,0)))</f>
        <v/>
      </c>
      <c r="AB5" t="str" cm="1">
        <f t="array" ref="AB5">IF(X5="NOT RECORDED","",IF(VLOOKUP(P5,'Player-Force'!$A$3:$K$28,MATCH(X5,_xlfn._xlws.FILTER('Player-Force'!$A$3:$K$28,'Player-Force'!$A$3:$A$28=P5),0)+3,0)=0,"",VLOOKUP(P5,'Player-Force'!$A$3:$K$28,MATCH(X5,_xlfn._xlws.FILTER('Player-Force'!$A$3:$K$28,'Player-Force'!$A$3:$A$28=P5),0)+3,0)))</f>
        <v/>
      </c>
      <c r="AC5" t="s">
        <v>125</v>
      </c>
      <c r="AD5" t="s">
        <v>118</v>
      </c>
      <c r="AE5" t="str">
        <f t="shared" si="0"/>
        <v>Tank</v>
      </c>
      <c r="AF5" t="str">
        <f t="shared" si="1"/>
        <v>Tank</v>
      </c>
    </row>
    <row r="6" spans="1:32" x14ac:dyDescent="0.25">
      <c r="A6">
        <v>5</v>
      </c>
      <c r="B6">
        <v>5</v>
      </c>
      <c r="C6" t="str">
        <v>escape</v>
      </c>
      <c r="D6" t="str">
        <v>b</v>
      </c>
      <c r="E6" t="str">
        <v>force_broken</v>
      </c>
      <c r="F6" t="str">
        <v>b</v>
      </c>
      <c r="G6">
        <v>0</v>
      </c>
      <c r="H6" t="str">
        <v>m17c62q7r7gvzy8sta4yvpsy7n7nrqpc</v>
      </c>
      <c r="I6" t="str">
        <v>Simon Peyton</v>
      </c>
      <c r="J6" t="str">
        <v>attack</v>
      </c>
      <c r="K6">
        <v>4</v>
      </c>
      <c r="L6">
        <v>1</v>
      </c>
      <c r="M6" t="str">
        <v>attacker</v>
      </c>
      <c r="N6">
        <v>0</v>
      </c>
      <c r="O6" t="str">
        <v>m17dd8ekynshgzsaqzrqa04dh585wjhe</v>
      </c>
      <c r="P6" t="str">
        <v xml:space="preserve">Jakub WÅ‚osowicz </v>
      </c>
      <c r="Q6" t="str">
        <v>maneuver</v>
      </c>
      <c r="R6">
        <v>1</v>
      </c>
      <c r="S6">
        <v>8</v>
      </c>
      <c r="T6" t="str">
        <v>defender</v>
      </c>
      <c r="U6" t="str">
        <v>Axis</v>
      </c>
      <c r="V6" t="str">
        <v>Allies</v>
      </c>
      <c r="W6" t="str">
        <f>IF(OR(OR(U6="Allies",U6="Axis"),AND(NOT(ISERROR(SEARCH("Primary",U6))),ISERROR(SEARCH(V6,U6)))),VLOOKUP(I6,'Player-Force'!$A$3:$K$28,4,0),IF(U6=V6,AC6,VLOOKUP(I6,'Player-Force'!$A$3:$K$28,8,0)))</f>
        <v>German: Berlin</v>
      </c>
      <c r="X6" t="str">
        <f>IF(OR(OR(V6="Allies",V6="Axis"),AND(NOT(ISERROR(SEARCH("Primary",V6))),ISERROR(SEARCH(U6,V6)))),VLOOKUP(P6,'Player-Force'!$A$3:$K$28,4,0),IF(V6=U6,AD6,VLOOKUP(P6,'Player-Force'!$A$3:$K$28,8,0)))</f>
        <v>Soviet: Bagration</v>
      </c>
      <c r="Y6" t="str" cm="1">
        <f t="array" ref="Y6">IF(W6="NOT RECORDED","",IF(VLOOKUP(I6,'Player-Force'!$A$3:$K$28,MATCH(W6,_xlfn._xlws.FILTER('Player-Force'!$A$3:$K$28,'Player-Force'!$A$3:$A$28=I6),0)+2,0)=0,"",VLOOKUP(I6,'Player-Force'!$A$3:$K$28,MATCH(W6,_xlfn._xlws.FILTER('Player-Force'!$A$3:$K$28,'Player-Force'!$A$3:$A$28=I6),0)+2,0)))</f>
        <v>Beach Defence Grenadier Company</v>
      </c>
      <c r="Z6" t="str" cm="1">
        <f t="array" ref="Z6">IF(X6="NOT RECORDED","",IF(VLOOKUP(P6,'Player-Force'!$A$3:$K$28,MATCH(X6,_xlfn._xlws.FILTER('Player-Force'!$A$3:$K$28,'Player-Force'!$A$3:$A$28=P6),0)+2,0)=0,"",VLOOKUP(P6,'Player-Force'!$A$3:$K$28,MATCH(X6,_xlfn._xlws.FILTER('Player-Force'!$A$3:$K$28,'Player-Force'!$A$3:$A$28=P6),0)+2,0)))</f>
        <v>Hero Motor Rifle Battalion</v>
      </c>
      <c r="AA6" t="str" cm="1">
        <f t="array" ref="AA6">IF(W6="NOT RECORDED","",IF(VLOOKUP(I6,'Player-Force'!$A$3:$K$28,MATCH(W6,_xlfn._xlws.FILTER('Player-Force'!$A$3:$K$28,'Player-Force'!$A$3:$A$28=I6),0)+3,0)=0,"",VLOOKUP(I6,'Player-Force'!$A$3:$K$28,MATCH(W6,_xlfn._xlws.FILTER('Player-Force'!$A$3:$K$28,'Player-Force'!$A$3:$A$28=I6),0)+3,0)))</f>
        <v/>
      </c>
      <c r="AB6" t="str" cm="1">
        <f t="array" ref="AB6">IF(X6="NOT RECORDED","",IF(VLOOKUP(P6,'Player-Force'!$A$3:$K$28,MATCH(X6,_xlfn._xlws.FILTER('Player-Force'!$A$3:$K$28,'Player-Force'!$A$3:$A$28=P6),0)+3,0)=0,"",VLOOKUP(P6,'Player-Force'!$A$3:$K$28,MATCH(X6,_xlfn._xlws.FILTER('Player-Force'!$A$3:$K$28,'Player-Force'!$A$3:$A$28=P6),0)+3,0)))</f>
        <v/>
      </c>
      <c r="AE6" t="str">
        <f t="shared" si="0"/>
        <v>Tank</v>
      </c>
      <c r="AF6" t="str">
        <f t="shared" si="1"/>
        <v>Infantry</v>
      </c>
    </row>
    <row r="7" spans="1:32" x14ac:dyDescent="0.25">
      <c r="A7">
        <v>5</v>
      </c>
      <c r="B7">
        <v>8</v>
      </c>
      <c r="C7" t="str">
        <v>probe</v>
      </c>
      <c r="D7" t="str">
        <v>b</v>
      </c>
      <c r="E7" t="str">
        <v>objective_taken</v>
      </c>
      <c r="F7" t="str">
        <v>b</v>
      </c>
      <c r="G7">
        <v>0</v>
      </c>
      <c r="H7" t="str">
        <v>m173e4ca5ymc0zvp6nnnfz8kqh85hdrg</v>
      </c>
      <c r="I7" t="str">
        <v>Raymond Young</v>
      </c>
      <c r="J7" t="str">
        <v>defend</v>
      </c>
      <c r="K7">
        <v>2</v>
      </c>
      <c r="L7">
        <v>1</v>
      </c>
      <c r="M7" t="str">
        <v>defender</v>
      </c>
      <c r="N7">
        <v>0</v>
      </c>
      <c r="O7" t="str">
        <v>m171gyqpf7xdaf4m1nj9cyhbsn86sgt1</v>
      </c>
      <c r="P7" t="str">
        <v>dab</v>
      </c>
      <c r="Q7" t="str">
        <v>defend</v>
      </c>
      <c r="R7">
        <v>1</v>
      </c>
      <c r="S7">
        <v>8</v>
      </c>
      <c r="T7" t="str">
        <v>attacker</v>
      </c>
      <c r="U7" t="str">
        <v>Axis</v>
      </c>
      <c r="V7" t="str">
        <v>Axis</v>
      </c>
      <c r="W7" t="str">
        <f>IF(OR(OR(U7="Allies",U7="Axis"),AND(NOT(ISERROR(SEARCH("Primary",U7))),ISERROR(SEARCH(V7,U7)))),VLOOKUP(I7,'Player-Force'!$A$3:$K$28,4,0),IF(U7=V7,AC7,VLOOKUP(I7,'Player-Force'!$A$3:$K$28,8,0)))</f>
        <v>German: D-Day</v>
      </c>
      <c r="X7" t="str">
        <f>IF(OR(OR(V7="Allies",V7="Axis"),AND(NOT(ISERROR(SEARCH("Primary",V7))),ISERROR(SEARCH(U7,V7)))),VLOOKUP(P7,'Player-Force'!$A$3:$K$28,4,0),IF(V7=U7,AD7,VLOOKUP(P7,'Player-Force'!$A$3:$K$28,8,0)))</f>
        <v>German: Berlin</v>
      </c>
      <c r="Y7" t="str" cm="1">
        <f t="array" ref="Y7">IF(W7="NOT RECORDED","",IF(VLOOKUP(I7,'Player-Force'!$A$3:$K$28,MATCH(W7,_xlfn._xlws.FILTER('Player-Force'!$A$3:$K$28,'Player-Force'!$A$3:$A$28=I7),0)+2,0)=0,"",VLOOKUP(I7,'Player-Force'!$A$3:$K$28,MATCH(W7,_xlfn._xlws.FILTER('Player-Force'!$A$3:$K$28,'Player-Force'!$A$3:$A$28=I7),0)+2,0)))</f>
        <v>Beach Defence Grenadier Company</v>
      </c>
      <c r="Z7" t="str" cm="1">
        <f t="array" ref="Z7">IF(X7="NOT RECORDED","",IF(VLOOKUP(P7,'Player-Force'!$A$3:$K$28,MATCH(X7,_xlfn._xlws.FILTER('Player-Force'!$A$3:$K$28,'Player-Force'!$A$3:$A$28=P7),0)+2,0)=0,"",VLOOKUP(P7,'Player-Force'!$A$3:$K$28,MATCH(X7,_xlfn._xlws.FILTER('Player-Force'!$A$3:$K$28,'Player-Force'!$A$3:$A$28=P7),0)+2,0)))</f>
        <v>Heavy Tank Training Company</v>
      </c>
      <c r="AA7" t="str" cm="1">
        <f t="array" ref="AA7">IF(W7="NOT RECORDED","",IF(VLOOKUP(I7,'Player-Force'!$A$3:$K$28,MATCH(W7,_xlfn._xlws.FILTER('Player-Force'!$A$3:$K$28,'Player-Force'!$A$3:$A$28=I7),0)+3,0)=0,"",VLOOKUP(I7,'Player-Force'!$A$3:$K$28,MATCH(W7,_xlfn._xlws.FILTER('Player-Force'!$A$3:$K$28,'Player-Force'!$A$3:$A$28=I7),0)+3,0)))</f>
        <v/>
      </c>
      <c r="AB7" t="str" cm="1">
        <f t="array" ref="AB7">IF(X7="NOT RECORDED","",IF(VLOOKUP(P7,'Player-Force'!$A$3:$K$28,MATCH(X7,_xlfn._xlws.FILTER('Player-Force'!$A$3:$K$28,'Player-Force'!$A$3:$A$28=P7),0)+3,0)=0,"",VLOOKUP(P7,'Player-Force'!$A$3:$K$28,MATCH(X7,_xlfn._xlws.FILTER('Player-Force'!$A$3:$K$28,'Player-Force'!$A$3:$A$28=P7),0)+3,0)))</f>
        <v/>
      </c>
      <c r="AE7" t="str">
        <f t="shared" si="0"/>
        <v>Infantry</v>
      </c>
      <c r="AF7" t="str">
        <f t="shared" si="1"/>
        <v>Tank</v>
      </c>
    </row>
    <row r="8" spans="1:32" x14ac:dyDescent="0.25">
      <c r="A8">
        <v>5</v>
      </c>
      <c r="B8">
        <v>4</v>
      </c>
      <c r="C8" t="str">
        <v>no_retreat</v>
      </c>
      <c r="D8" t="str">
        <v>b</v>
      </c>
      <c r="E8" t="str">
        <v>force_broken</v>
      </c>
      <c r="F8" t="str">
        <v>a</v>
      </c>
      <c r="G8">
        <v>0</v>
      </c>
      <c r="H8" t="str">
        <v>m1727vbteqpkwbc781rz8rw0397kqy2a</v>
      </c>
      <c r="I8" t="str">
        <v>Jacopo Sem</v>
      </c>
      <c r="J8" t="str">
        <v>defend</v>
      </c>
      <c r="K8">
        <v>0</v>
      </c>
      <c r="L8">
        <v>8</v>
      </c>
      <c r="M8" t="str">
        <v>defender</v>
      </c>
      <c r="N8">
        <v>0</v>
      </c>
      <c r="O8" t="str">
        <v>m174njm2q4jceqsc68swfjfyq57nw34f</v>
      </c>
      <c r="P8" t="str">
        <v>Anthony Himycz</v>
      </c>
      <c r="Q8" t="str">
        <v>attack</v>
      </c>
      <c r="R8">
        <v>5</v>
      </c>
      <c r="S8">
        <v>1</v>
      </c>
      <c r="T8" t="str">
        <v>attacker</v>
      </c>
      <c r="U8" t="str">
        <v>Axis</v>
      </c>
      <c r="V8" t="str">
        <v>Allies</v>
      </c>
      <c r="W8" t="str">
        <f>IF(OR(OR(U8="Allies",U8="Axis"),AND(NOT(ISERROR(SEARCH("Primary",U8))),ISERROR(SEARCH(V8,U8)))),VLOOKUP(I8,'Player-Force'!$A$3:$K$28,4,0),IF(U8=V8,AC8,VLOOKUP(I8,'Player-Force'!$A$3:$K$28,8,0)))</f>
        <v>German: Berlin</v>
      </c>
      <c r="X8" t="str">
        <f>IF(OR(OR(V8="Allies",V8="Axis"),AND(NOT(ISERROR(SEARCH("Primary",V8))),ISERROR(SEARCH(U8,V8)))),VLOOKUP(P8,'Player-Force'!$A$3:$K$28,4,0),IF(V8=U8,AD8,VLOOKUP(P8,'Player-Force'!$A$3:$K$28,8,0)))</f>
        <v>British: Bulge</v>
      </c>
      <c r="Y8" t="str" cm="1">
        <f t="array" ref="Y8">IF(W8="NOT RECORDED","",IF(VLOOKUP(I8,'Player-Force'!$A$3:$K$28,MATCH(W8,_xlfn._xlws.FILTER('Player-Force'!$A$3:$K$28,'Player-Force'!$A$3:$A$28=I8),0)+2,0)=0,"",VLOOKUP(I8,'Player-Force'!$A$3:$K$28,MATCH(W8,_xlfn._xlws.FILTER('Player-Force'!$A$3:$K$28,'Player-Force'!$A$3:$A$28=I8),0)+2,0)))</f>
        <v>Berlin Battle Group</v>
      </c>
      <c r="Z8" t="str" cm="1">
        <f t="array" ref="Z8">IF(X8="NOT RECORDED","",IF(VLOOKUP(P8,'Player-Force'!$A$3:$K$28,MATCH(X8,_xlfn._xlws.FILTER('Player-Force'!$A$3:$K$28,'Player-Force'!$A$3:$A$28=P8),0)+2,0)=0,"",VLOOKUP(P8,'Player-Force'!$A$3:$K$28,MATCH(X8,_xlfn._xlws.FILTER('Player-Force'!$A$3:$K$28,'Player-Force'!$A$3:$A$28=P8),0)+2,0)))</f>
        <v>Ram Armoured Squadron</v>
      </c>
      <c r="AA8" t="str" cm="1">
        <f t="array" ref="AA8">IF(W8="NOT RECORDED","",IF(VLOOKUP(I8,'Player-Force'!$A$3:$K$28,MATCH(W8,_xlfn._xlws.FILTER('Player-Force'!$A$3:$K$28,'Player-Force'!$A$3:$A$28=I8),0)+3,0)=0,"",VLOOKUP(I8,'Player-Force'!$A$3:$K$28,MATCH(W8,_xlfn._xlws.FILTER('Player-Force'!$A$3:$K$28,'Player-Force'!$A$3:$A$28=I8),0)+3,0)))</f>
        <v/>
      </c>
      <c r="AB8" t="str" cm="1">
        <f t="array" ref="AB8">IF(X8="NOT RECORDED","",IF(VLOOKUP(P8,'Player-Force'!$A$3:$K$28,MATCH(X8,_xlfn._xlws.FILTER('Player-Force'!$A$3:$K$28,'Player-Force'!$A$3:$A$28=P8),0)+3,0)=0,"",VLOOKUP(P8,'Player-Force'!$A$3:$K$28,MATCH(X8,_xlfn._xlws.FILTER('Player-Force'!$A$3:$K$28,'Player-Force'!$A$3:$A$28=P8),0)+3,0)))</f>
        <v/>
      </c>
      <c r="AE8" t="str">
        <f t="shared" si="0"/>
        <v>Infantry</v>
      </c>
      <c r="AF8" t="str">
        <f t="shared" si="1"/>
        <v>Tank</v>
      </c>
    </row>
    <row r="9" spans="1:32" x14ac:dyDescent="0.25">
      <c r="A9">
        <v>5</v>
      </c>
      <c r="B9">
        <v>5</v>
      </c>
      <c r="C9" t="str">
        <v>hold_the_pocket</v>
      </c>
      <c r="D9" t="str">
        <v>a</v>
      </c>
      <c r="E9" t="str">
        <v>objective_taken</v>
      </c>
      <c r="F9" t="str">
        <v>a</v>
      </c>
      <c r="G9">
        <v>0</v>
      </c>
      <c r="H9" t="str">
        <v>m170ydpp6ytmfbyvamt2pdxme181gf8t</v>
      </c>
      <c r="I9" t="str">
        <v>Tom Dudley</v>
      </c>
      <c r="J9" t="str">
        <v>attack</v>
      </c>
      <c r="K9">
        <v>3</v>
      </c>
      <c r="L9">
        <v>6</v>
      </c>
      <c r="M9" t="str">
        <v>attacker</v>
      </c>
      <c r="N9">
        <v>0</v>
      </c>
      <c r="O9" t="str">
        <v>m17d2hv9vk3g5e8etkqkbqbcmn85pv05</v>
      </c>
      <c r="P9" t="str">
        <v>Alasdair Galloway</v>
      </c>
      <c r="Q9" t="str">
        <v>defend</v>
      </c>
      <c r="R9">
        <v>6</v>
      </c>
      <c r="S9">
        <v>3</v>
      </c>
      <c r="T9" t="str">
        <v>defender</v>
      </c>
      <c r="U9" t="str">
        <v>Allies</v>
      </c>
      <c r="V9" t="str">
        <v>Primary Axis</v>
      </c>
      <c r="W9" t="str">
        <f>IF(OR(OR(U9="Allies",U9="Axis"),AND(NOT(ISERROR(SEARCH("Primary",U9))),ISERROR(SEARCH(V9,U9)))),VLOOKUP(I9,'Player-Force'!$A$3:$K$28,4,0),IF(U9=V9,AC9,VLOOKUP(I9,'Player-Force'!$A$3:$K$28,8,0)))</f>
        <v>American: Bulge</v>
      </c>
      <c r="X9" t="str">
        <f>IF(OR(OR(V9="Allies",V9="Axis"),AND(NOT(ISERROR(SEARCH("Primary",V9))),ISERROR(SEARCH(U9,V9)))),VLOOKUP(P9,'Player-Force'!$A$3:$K$28,4,0),IF(V9=U9,AD9,VLOOKUP(P9,'Player-Force'!$A$3:$K$28,8,0)))</f>
        <v>German: Waffen-SS</v>
      </c>
      <c r="Y9" t="str" cm="1">
        <f t="array" ref="Y9">IF(W9="NOT RECORDED","",IF(VLOOKUP(I9,'Player-Force'!$A$3:$K$28,MATCH(W9,_xlfn._xlws.FILTER('Player-Force'!$A$3:$K$28,'Player-Force'!$A$3:$A$28=I9),0)+2,0)=0,"",VLOOKUP(I9,'Player-Force'!$A$3:$K$28,MATCH(W9,_xlfn._xlws.FILTER('Player-Force'!$A$3:$K$28,'Player-Force'!$A$3:$A$28=I9),0)+2,0)))</f>
        <v>Veteran M4 Sherman (Late) Tank Company</v>
      </c>
      <c r="Z9" t="str" cm="1">
        <f t="array" ref="Z9">IF(X9="NOT RECORDED","",IF(VLOOKUP(P9,'Player-Force'!$A$3:$K$28,MATCH(X9,_xlfn._xlws.FILTER('Player-Force'!$A$3:$K$28,'Player-Force'!$A$3:$A$28=P9),0)+2,0)=0,"",VLOOKUP(P9,'Player-Force'!$A$3:$K$28,MATCH(X9,_xlfn._xlws.FILTER('Player-Force'!$A$3:$K$28,'Player-Force'!$A$3:$A$28=P9),0)+2,0)))</f>
        <v xml:space="preserve">Panzer IV SS Tank Company </v>
      </c>
      <c r="AA9" t="str" cm="1">
        <f t="array" ref="AA9">IF(W9="NOT RECORDED","",IF(VLOOKUP(I9,'Player-Force'!$A$3:$K$28,MATCH(W9,_xlfn._xlws.FILTER('Player-Force'!$A$3:$K$28,'Player-Force'!$A$3:$A$28=I9),0)+3,0)=0,"",VLOOKUP(I9,'Player-Force'!$A$3:$K$28,MATCH(W9,_xlfn._xlws.FILTER('Player-Force'!$A$3:$K$28,'Player-Force'!$A$3:$A$28=I9),0)+3,0)))</f>
        <v>Battle Weary Rifle Company</v>
      </c>
      <c r="AB9" t="str" cm="1">
        <f t="array" ref="AB9">IF(X9="NOT RECORDED","",IF(VLOOKUP(P9,'Player-Force'!$A$3:$K$28,MATCH(X9,_xlfn._xlws.FILTER('Player-Force'!$A$3:$K$28,'Player-Force'!$A$3:$A$28=P9),0)+3,0)=0,"",VLOOKUP(P9,'Player-Force'!$A$3:$K$28,MATCH(X9,_xlfn._xlws.FILTER('Player-Force'!$A$3:$K$28,'Player-Force'!$A$3:$A$28=P9),0)+3,0)))</f>
        <v>Armoured SS Panzergrenadier Company</v>
      </c>
      <c r="AE9" t="str">
        <f t="shared" si="0"/>
        <v>Combined Tank/Infantry</v>
      </c>
      <c r="AF9" t="str">
        <f t="shared" si="1"/>
        <v>Combined Tank/Mechanised Infantry</v>
      </c>
    </row>
    <row r="10" spans="1:32" x14ac:dyDescent="0.25">
      <c r="A10">
        <v>5</v>
      </c>
      <c r="B10">
        <v>4</v>
      </c>
      <c r="C10" t="str">
        <v>no_retreat</v>
      </c>
      <c r="D10" t="str">
        <v>b</v>
      </c>
      <c r="E10" t="str">
        <v>objective_taken</v>
      </c>
      <c r="F10" t="str">
        <v>b</v>
      </c>
      <c r="G10">
        <v>0</v>
      </c>
      <c r="H10" t="str">
        <v>m17e6mz911704amf7nvgscbtw97nd43j</v>
      </c>
      <c r="I10" t="str">
        <v>Krzysztof Kuczerawy</v>
      </c>
      <c r="J10" t="str">
        <v>defend</v>
      </c>
      <c r="K10">
        <v>5</v>
      </c>
      <c r="L10">
        <v>1</v>
      </c>
      <c r="M10" t="str">
        <v>defender</v>
      </c>
      <c r="N10">
        <v>0</v>
      </c>
      <c r="O10" t="str">
        <v>m1763d5xv5w06g0p77d794fths7k938v</v>
      </c>
      <c r="P10" t="str">
        <v>Åukasz Kur</v>
      </c>
      <c r="Q10" t="str">
        <v>maneuver</v>
      </c>
      <c r="R10">
        <v>0</v>
      </c>
      <c r="S10">
        <v>8</v>
      </c>
      <c r="T10" t="str">
        <v>attacker</v>
      </c>
      <c r="U10" t="str">
        <v>Allies</v>
      </c>
      <c r="V10" t="str">
        <v>Axis</v>
      </c>
      <c r="W10" t="str">
        <f>IF(OR(OR(U10="Allies",U10="Axis"),AND(NOT(ISERROR(SEARCH("Primary",U10))),ISERROR(SEARCH(V10,U10)))),VLOOKUP(I10,'Player-Force'!$A$3:$K$28,4,0),IF(U10=V10,AC10,VLOOKUP(I10,'Player-Force'!$A$3:$K$28,8,0)))</f>
        <v>British: Bulge</v>
      </c>
      <c r="X10" t="str">
        <f>IF(OR(OR(V10="Allies",V10="Axis"),AND(NOT(ISERROR(SEARCH("Primary",V10))),ISERROR(SEARCH(U10,V10)))),VLOOKUP(P10,'Player-Force'!$A$3:$K$28,4,0),IF(V10=U10,AD10,VLOOKUP(P10,'Player-Force'!$A$3:$K$28,8,0)))</f>
        <v>German: Bulge</v>
      </c>
      <c r="Y10" t="str" cm="1">
        <f t="array" ref="Y10">IF(W10="NOT RECORDED","",IF(VLOOKUP(I10,'Player-Force'!$A$3:$K$28,MATCH(W10,_xlfn._xlws.FILTER('Player-Force'!$A$3:$K$28,'Player-Force'!$A$3:$A$28=I10),0)+2,0)=0,"",VLOOKUP(I10,'Player-Force'!$A$3:$K$28,MATCH(W10,_xlfn._xlws.FILTER('Player-Force'!$A$3:$K$28,'Player-Force'!$A$3:$A$28=I10),0)+2,0)))</f>
        <v>Kangaroo Rifle Company</v>
      </c>
      <c r="Z10" t="str" cm="1">
        <f t="array" ref="Z10">IF(X10="NOT RECORDED","",IF(VLOOKUP(P10,'Player-Force'!$A$3:$K$28,MATCH(X10,_xlfn._xlws.FILTER('Player-Force'!$A$3:$K$28,'Player-Force'!$A$3:$A$28=P10),0)+2,0)=0,"",VLOOKUP(P10,'Player-Force'!$A$3:$K$28,MATCH(X10,_xlfn._xlws.FILTER('Player-Force'!$A$3:$K$28,'Player-Force'!$A$3:$A$28=P10),0)+2,0)))</f>
        <v>Brigade Armoured Assault Company</v>
      </c>
      <c r="AA10" t="str" cm="1">
        <f t="array" ref="AA10">IF(W10="NOT RECORDED","",IF(VLOOKUP(I10,'Player-Force'!$A$3:$K$28,MATCH(W10,_xlfn._xlws.FILTER('Player-Force'!$A$3:$K$28,'Player-Force'!$A$3:$A$28=I10),0)+3,0)=0,"",VLOOKUP(I10,'Player-Force'!$A$3:$K$28,MATCH(W10,_xlfn._xlws.FILTER('Player-Force'!$A$3:$K$28,'Player-Force'!$A$3:$A$28=I10),0)+3,0)))</f>
        <v/>
      </c>
      <c r="AB10" t="str" cm="1">
        <f t="array" ref="AB10">IF(X10="NOT RECORDED","",IF(VLOOKUP(P10,'Player-Force'!$A$3:$K$28,MATCH(X10,_xlfn._xlws.FILTER('Player-Force'!$A$3:$K$28,'Player-Force'!$A$3:$A$28=P10),0)+3,0)=0,"",VLOOKUP(P10,'Player-Force'!$A$3:$K$28,MATCH(X10,_xlfn._xlws.FILTER('Player-Force'!$A$3:$K$28,'Player-Force'!$A$3:$A$28=P10),0)+3,0)))</f>
        <v/>
      </c>
      <c r="AE10" t="str">
        <f t="shared" si="0"/>
        <v>Mechanised Infantry</v>
      </c>
      <c r="AF10" t="str">
        <f t="shared" si="1"/>
        <v>Mechanised Infantry</v>
      </c>
    </row>
    <row r="11" spans="1:32" x14ac:dyDescent="0.25">
      <c r="A11">
        <v>5</v>
      </c>
      <c r="B11">
        <v>6</v>
      </c>
      <c r="C11" t="str">
        <v>encirclement</v>
      </c>
      <c r="D11" t="str">
        <v>a</v>
      </c>
      <c r="E11" t="str">
        <v>attack_repelled</v>
      </c>
      <c r="F11" t="str">
        <v>b</v>
      </c>
      <c r="G11">
        <v>0</v>
      </c>
      <c r="H11" t="str">
        <v>m175sbdxx1r2zq5jn6mdscsexx86gzn2</v>
      </c>
      <c r="I11" t="str">
        <v>Laurence Kettle</v>
      </c>
      <c r="J11" t="str">
        <v>attack</v>
      </c>
      <c r="K11">
        <v>4</v>
      </c>
      <c r="L11">
        <v>1</v>
      </c>
      <c r="M11" t="str">
        <v>attacker</v>
      </c>
      <c r="N11">
        <v>0</v>
      </c>
      <c r="O11" t="str">
        <v>m172prnn7ee4eavt3sasg4xf397nazj5</v>
      </c>
      <c r="P11" t="str">
        <v>Rex King</v>
      </c>
      <c r="Q11" t="str">
        <v>defend</v>
      </c>
      <c r="R11">
        <v>1</v>
      </c>
      <c r="S11">
        <v>8</v>
      </c>
      <c r="T11" t="str">
        <v>defender</v>
      </c>
      <c r="U11" t="str">
        <v>Primary Allies</v>
      </c>
      <c r="V11" t="str">
        <v>Primary Axis</v>
      </c>
      <c r="W11" t="str">
        <f>IF(OR(OR(U11="Allies",U11="Axis"),AND(NOT(ISERROR(SEARCH("Primary",U11))),ISERROR(SEARCH(V11,U11)))),VLOOKUP(I11,'Player-Force'!$A$3:$K$28,4,0),IF(U11=V11,AC11,VLOOKUP(I11,'Player-Force'!$A$3:$K$28,8,0)))</f>
        <v>Soviet: Bagration</v>
      </c>
      <c r="X11" t="str">
        <f>IF(OR(OR(V11="Allies",V11="Axis"),AND(NOT(ISERROR(SEARCH("Primary",V11))),ISERROR(SEARCH(U11,V11)))),VLOOKUP(P11,'Player-Force'!$A$3:$K$28,4,0),IF(V11=U11,AD11,VLOOKUP(P11,'Player-Force'!$A$3:$K$28,8,0)))</f>
        <v>German: Berlin</v>
      </c>
      <c r="Y11" t="str" cm="1">
        <f t="array" ref="Y11">IF(W11="NOT RECORDED","",IF(VLOOKUP(I11,'Player-Force'!$A$3:$K$28,MATCH(W11,_xlfn._xlws.FILTER('Player-Force'!$A$3:$K$28,'Player-Force'!$A$3:$A$28=I11),0)+2,0)=0,"",VLOOKUP(I11,'Player-Force'!$A$3:$K$28,MATCH(W11,_xlfn._xlws.FILTER('Player-Force'!$A$3:$K$28,'Player-Force'!$A$3:$A$28=I11),0)+2,0)))</f>
        <v>T-34 Tank Battalion</v>
      </c>
      <c r="Z11" t="str" cm="1">
        <f t="array" ref="Z11">IF(X11="NOT RECORDED","",IF(VLOOKUP(P11,'Player-Force'!$A$3:$K$28,MATCH(X11,_xlfn._xlws.FILTER('Player-Force'!$A$3:$K$28,'Player-Force'!$A$3:$A$28=P11),0)+2,0)=0,"",VLOOKUP(P11,'Player-Force'!$A$3:$K$28,MATCH(X11,_xlfn._xlws.FILTER('Player-Force'!$A$3:$K$28,'Player-Force'!$A$3:$A$28=P11),0)+2,0)))</f>
        <v>Berlin Battle Group</v>
      </c>
      <c r="AA11" t="str" cm="1">
        <f t="array" ref="AA11">IF(W11="NOT RECORDED","",IF(VLOOKUP(I11,'Player-Force'!$A$3:$K$28,MATCH(W11,_xlfn._xlws.FILTER('Player-Force'!$A$3:$K$28,'Player-Force'!$A$3:$A$28=I11),0)+3,0)=0,"",VLOOKUP(I11,'Player-Force'!$A$3:$K$28,MATCH(W11,_xlfn._xlws.FILTER('Player-Force'!$A$3:$K$28,'Player-Force'!$A$3:$A$28=I11),0)+3,0)))</f>
        <v/>
      </c>
      <c r="AB11" t="str" cm="1">
        <f t="array" ref="AB11">IF(X11="NOT RECORDED","",IF(VLOOKUP(P11,'Player-Force'!$A$3:$K$28,MATCH(X11,_xlfn._xlws.FILTER('Player-Force'!$A$3:$K$28,'Player-Force'!$A$3:$A$28=P11),0)+3,0)=0,"",VLOOKUP(P11,'Player-Force'!$A$3:$K$28,MATCH(X11,_xlfn._xlws.FILTER('Player-Force'!$A$3:$K$28,'Player-Force'!$A$3:$A$28=P11),0)+3,0)))</f>
        <v/>
      </c>
      <c r="AE11" t="str">
        <f t="shared" si="0"/>
        <v>Tank</v>
      </c>
      <c r="AF11" t="str">
        <f t="shared" si="1"/>
        <v>Infantry</v>
      </c>
    </row>
    <row r="12" spans="1:32" x14ac:dyDescent="0.25">
      <c r="A12">
        <v>5</v>
      </c>
      <c r="B12">
        <v>3</v>
      </c>
      <c r="C12" t="str">
        <v>hold_the_pocket</v>
      </c>
      <c r="D12" t="str">
        <v>a</v>
      </c>
      <c r="E12" t="str">
        <v>objective_taken</v>
      </c>
      <c r="F12" t="str">
        <v>a</v>
      </c>
      <c r="G12">
        <v>0</v>
      </c>
      <c r="H12" t="str">
        <v>m17avsxcwawj8dkhmc16pz013986hwv4</v>
      </c>
      <c r="I12" t="str">
        <v>Brian Wilson</v>
      </c>
      <c r="J12" t="str">
        <v>attack</v>
      </c>
      <c r="K12">
        <v>0</v>
      </c>
      <c r="L12">
        <v>8</v>
      </c>
      <c r="M12" t="str">
        <v>attacker</v>
      </c>
      <c r="N12">
        <v>0</v>
      </c>
      <c r="O12" t="str">
        <v>m176kt9se0tm1y2dxtkqkthwxd86tzsv</v>
      </c>
      <c r="P12" t="str">
        <v>Leo Humphreys</v>
      </c>
      <c r="Q12" t="str">
        <v>defend</v>
      </c>
      <c r="R12">
        <v>3</v>
      </c>
      <c r="S12">
        <v>1</v>
      </c>
      <c r="T12" t="str">
        <v>defender</v>
      </c>
      <c r="U12" t="str">
        <v>Axis</v>
      </c>
      <c r="V12" t="str">
        <v>Allies</v>
      </c>
      <c r="W12" t="str">
        <f>IF(OR(OR(U12="Allies",U12="Axis"),AND(NOT(ISERROR(SEARCH("Primary",U12))),ISERROR(SEARCH(V12,U12)))),VLOOKUP(I12,'Player-Force'!$A$3:$K$28,4,0),IF(U12=V12,AC12,VLOOKUP(I12,'Player-Force'!$A$3:$K$28,8,0)))</f>
        <v>German: Waffen-SS</v>
      </c>
      <c r="X12" t="str">
        <f>IF(OR(OR(V12="Allies",V12="Axis"),AND(NOT(ISERROR(SEARCH("Primary",V12))),ISERROR(SEARCH(U12,V12)))),VLOOKUP(P12,'Player-Force'!$A$3:$K$28,4,0),IF(V12=U12,AD12,VLOOKUP(P12,'Player-Force'!$A$3:$K$28,8,0)))</f>
        <v>British: D-Day</v>
      </c>
      <c r="Y12" t="str" cm="1">
        <f t="array" ref="Y12">IF(W12="NOT RECORDED","",IF(VLOOKUP(I12,'Player-Force'!$A$3:$K$28,MATCH(W12,_xlfn._xlws.FILTER('Player-Force'!$A$3:$K$28,'Player-Force'!$A$3:$A$28=I12),0)+2,0)=0,"",VLOOKUP(I12,'Player-Force'!$A$3:$K$28,MATCH(W12,_xlfn._xlws.FILTER('Player-Force'!$A$3:$K$28,'Player-Force'!$A$3:$A$28=I12),0)+2,0)))</f>
        <v>StuG SS Tank Company</v>
      </c>
      <c r="Z12" t="str" cm="1">
        <f t="array" ref="Z12">IF(X12="NOT RECORDED","",IF(VLOOKUP(P12,'Player-Force'!$A$3:$K$28,MATCH(X12,_xlfn._xlws.FILTER('Player-Force'!$A$3:$K$28,'Player-Force'!$A$3:$A$28=P12),0)+2,0)=0,"",VLOOKUP(P12,'Player-Force'!$A$3:$K$28,MATCH(X12,_xlfn._xlws.FILTER('Player-Force'!$A$3:$K$28,'Player-Force'!$A$3:$A$28=P12),0)+2,0)))</f>
        <v>Desert Rats Cromwell Armoured Squadron</v>
      </c>
      <c r="AA12" t="str" cm="1">
        <f t="array" ref="AA12">IF(W12="NOT RECORDED","",IF(VLOOKUP(I12,'Player-Force'!$A$3:$K$28,MATCH(W12,_xlfn._xlws.FILTER('Player-Force'!$A$3:$K$28,'Player-Force'!$A$3:$A$28=I12),0)+3,0)=0,"",VLOOKUP(I12,'Player-Force'!$A$3:$K$28,MATCH(W12,_xlfn._xlws.FILTER('Player-Force'!$A$3:$K$28,'Player-Force'!$A$3:$A$28=I12),0)+3,0)))</f>
        <v/>
      </c>
      <c r="AB12" t="str" cm="1">
        <f t="array" ref="AB12">IF(X12="NOT RECORDED","",IF(VLOOKUP(P12,'Player-Force'!$A$3:$K$28,MATCH(X12,_xlfn._xlws.FILTER('Player-Force'!$A$3:$K$28,'Player-Force'!$A$3:$A$28=P12),0)+3,0)=0,"",VLOOKUP(P12,'Player-Force'!$A$3:$K$28,MATCH(X12,_xlfn._xlws.FILTER('Player-Force'!$A$3:$K$28,'Player-Force'!$A$3:$A$28=P12),0)+3,0)))</f>
        <v/>
      </c>
      <c r="AE12" t="str">
        <f t="shared" si="0"/>
        <v>Tank</v>
      </c>
      <c r="AF12" t="str">
        <f t="shared" si="1"/>
        <v>Tank</v>
      </c>
    </row>
    <row r="13" spans="1:32" x14ac:dyDescent="0.25">
      <c r="A13">
        <v>5</v>
      </c>
      <c r="B13">
        <v>3</v>
      </c>
      <c r="C13" t="str">
        <v>escape</v>
      </c>
      <c r="D13" t="str">
        <v>b</v>
      </c>
      <c r="E13" t="str">
        <v>objective_taken</v>
      </c>
      <c r="F13" t="str">
        <v>a</v>
      </c>
      <c r="G13">
        <v>0</v>
      </c>
      <c r="H13" t="str">
        <v>m176m7qa02ds8hsgzgbm4e4ssn7rhm68</v>
      </c>
      <c r="I13" t="str">
        <v>Kenneth Alexander</v>
      </c>
      <c r="J13" t="str">
        <v>attack</v>
      </c>
      <c r="K13">
        <v>0</v>
      </c>
      <c r="L13">
        <v>8</v>
      </c>
      <c r="M13" t="str">
        <v>attacker</v>
      </c>
      <c r="N13">
        <v>0</v>
      </c>
      <c r="O13" t="str">
        <v>m176j9ge6ss0s6pqjxrr1cpnjh86c2c8</v>
      </c>
      <c r="P13" t="str">
        <v>Jordan Williamson</v>
      </c>
      <c r="Q13" t="str">
        <v>maneuver</v>
      </c>
      <c r="R13">
        <v>0</v>
      </c>
      <c r="S13">
        <v>1</v>
      </c>
      <c r="T13" t="str">
        <v>defender</v>
      </c>
      <c r="U13" t="str">
        <v>Axis</v>
      </c>
      <c r="V13" t="str">
        <v>Allies</v>
      </c>
      <c r="W13" t="str">
        <f>IF(OR(OR(U13="Allies",U13="Axis"),AND(NOT(ISERROR(SEARCH("Primary",U13))),ISERROR(SEARCH(V13,U13)))),VLOOKUP(I13,'Player-Force'!$A$3:$K$28,4,0),IF(U13=V13,AC13,VLOOKUP(I13,'Player-Force'!$A$3:$K$28,8,0)))</f>
        <v>German: Bagration</v>
      </c>
      <c r="X13" t="str">
        <f>IF(OR(OR(V13="Allies",V13="Axis"),AND(NOT(ISERROR(SEARCH("Primary",V13))),ISERROR(SEARCH(U13,V13)))),VLOOKUP(P13,'Player-Force'!$A$3:$K$28,4,0),IF(V13=U13,AD13,VLOOKUP(P13,'Player-Force'!$A$3:$K$28,8,0)))</f>
        <v>Soviet: Berlin</v>
      </c>
      <c r="Y13" t="str" cm="1">
        <f t="array" ref="Y13">IF(W13="NOT RECORDED","",IF(VLOOKUP(I13,'Player-Force'!$A$3:$K$28,MATCH(W13,_xlfn._xlws.FILTER('Player-Force'!$A$3:$K$28,'Player-Force'!$A$3:$A$28=I13),0)+2,0)=0,"",VLOOKUP(I13,'Player-Force'!$A$3:$K$28,MATCH(W13,_xlfn._xlws.FILTER('Player-Force'!$A$3:$K$28,'Player-Force'!$A$3:$A$28=I13),0)+2,0)))</f>
        <v>Panther Tank Company</v>
      </c>
      <c r="Z13" t="str" cm="1">
        <f t="array" ref="Z13">IF(X13="NOT RECORDED","",IF(VLOOKUP(P13,'Player-Force'!$A$3:$K$28,MATCH(X13,_xlfn._xlws.FILTER('Player-Force'!$A$3:$K$28,'Player-Force'!$A$3:$A$28=P13),0)+2,0)=0,"",VLOOKUP(P13,'Player-Force'!$A$3:$K$28,MATCH(X13,_xlfn._xlws.FILTER('Player-Force'!$A$3:$K$28,'Player-Force'!$A$3:$A$28=P13),0)+2,0)))</f>
        <v>Hero IS-2 (Late) Guards Heavy Tank Regiment</v>
      </c>
      <c r="AA13" t="str" cm="1">
        <f t="array" ref="AA13">IF(W13="NOT RECORDED","",IF(VLOOKUP(I13,'Player-Force'!$A$3:$K$28,MATCH(W13,_xlfn._xlws.FILTER('Player-Force'!$A$3:$K$28,'Player-Force'!$A$3:$A$28=I13),0)+3,0)=0,"",VLOOKUP(I13,'Player-Force'!$A$3:$K$28,MATCH(W13,_xlfn._xlws.FILTER('Player-Force'!$A$3:$K$28,'Player-Force'!$A$3:$A$28=I13),0)+3,0)))</f>
        <v/>
      </c>
      <c r="AB13" t="str" cm="1">
        <f t="array" ref="AB13">IF(X13="NOT RECORDED","",IF(VLOOKUP(P13,'Player-Force'!$A$3:$K$28,MATCH(X13,_xlfn._xlws.FILTER('Player-Force'!$A$3:$K$28,'Player-Force'!$A$3:$A$28=P13),0)+3,0)=0,"",VLOOKUP(P13,'Player-Force'!$A$3:$K$28,MATCH(X13,_xlfn._xlws.FILTER('Player-Force'!$A$3:$K$28,'Player-Force'!$A$3:$A$28=P13),0)+3,0)))</f>
        <v/>
      </c>
      <c r="AE13" t="str">
        <f t="shared" si="0"/>
        <v>Tank</v>
      </c>
      <c r="AF13" t="str">
        <f t="shared" si="1"/>
        <v>Tank</v>
      </c>
    </row>
    <row r="14" spans="1:32" x14ac:dyDescent="0.25">
      <c r="A14">
        <v>5</v>
      </c>
      <c r="B14">
        <v>6</v>
      </c>
      <c r="C14" t="str">
        <v>no_retreat</v>
      </c>
      <c r="D14" t="str">
        <v>b</v>
      </c>
      <c r="E14" t="str">
        <v>attack_repelled</v>
      </c>
      <c r="F14" t="str">
        <v>a</v>
      </c>
      <c r="G14">
        <v>0</v>
      </c>
      <c r="H14" t="str">
        <v>m17abhk4dqzbh2gjfcxwx3bars84jngw</v>
      </c>
      <c r="I14" t="str">
        <v>Lucas Helaine-Watson</v>
      </c>
      <c r="J14" t="str">
        <v>defend</v>
      </c>
      <c r="K14">
        <v>1</v>
      </c>
      <c r="L14">
        <v>8</v>
      </c>
      <c r="M14" t="str">
        <v>defender</v>
      </c>
      <c r="N14">
        <v>0</v>
      </c>
      <c r="O14" t="str">
        <v>m17cms3zc3pkg59r1jj41s7txn7nbk3w</v>
      </c>
      <c r="P14" t="str">
        <v>Szymon Granat</v>
      </c>
      <c r="Q14" t="str">
        <v>maneuver</v>
      </c>
      <c r="R14">
        <v>5</v>
      </c>
      <c r="S14">
        <v>1</v>
      </c>
      <c r="T14" t="str">
        <v>attacker</v>
      </c>
      <c r="U14" t="str">
        <v>Allies</v>
      </c>
      <c r="V14" t="str">
        <v>Primary Axis</v>
      </c>
      <c r="W14" t="str">
        <f>IF(OR(OR(U14="Allies",U14="Axis"),AND(NOT(ISERROR(SEARCH("Primary",U14))),ISERROR(SEARCH(V14,U14)))),VLOOKUP(I14,'Player-Force'!$A$3:$K$28,4,0),IF(U14=V14,AC14,VLOOKUP(I14,'Player-Force'!$A$3:$K$28,8,0)))</f>
        <v>Soviet: Berlin</v>
      </c>
      <c r="X14" t="str">
        <f>IF(OR(OR(V14="Allies",V14="Axis"),AND(NOT(ISERROR(SEARCH("Primary",V14))),ISERROR(SEARCH(U14,V14)))),VLOOKUP(P14,'Player-Force'!$A$3:$K$28,4,0),IF(V14=U14,AD14,VLOOKUP(P14,'Player-Force'!$A$3:$K$28,8,0)))</f>
        <v>Hungarian: Bagration (Axis)</v>
      </c>
      <c r="Y14" t="str" cm="1">
        <f t="array" ref="Y14">IF(W14="NOT RECORDED","",IF(VLOOKUP(I14,'Player-Force'!$A$3:$K$28,MATCH(W14,_xlfn._xlws.FILTER('Player-Force'!$A$3:$K$28,'Player-Force'!$A$3:$A$28=I14),0)+2,0)=0,"",VLOOKUP(I14,'Player-Force'!$A$3:$K$28,MATCH(W14,_xlfn._xlws.FILTER('Player-Force'!$A$3:$K$28,'Player-Force'!$A$3:$A$28=I14),0)+2,0)))</f>
        <v>Red Banner Rifle Regiment</v>
      </c>
      <c r="Z14" t="str" cm="1">
        <f t="array" ref="Z14">IF(X14="NOT RECORDED","",IF(VLOOKUP(P14,'Player-Force'!$A$3:$K$28,MATCH(X14,_xlfn._xlws.FILTER('Player-Force'!$A$3:$K$28,'Player-Force'!$A$3:$A$28=P14),0)+2,0)=0,"",VLOOKUP(P14,'Player-Force'!$A$3:$K$28,MATCH(X14,_xlfn._xlws.FILTER('Player-Force'!$A$3:$K$28,'Player-Force'!$A$3:$A$28=P14),0)+2,0)))</f>
        <v>Turán Tank Company</v>
      </c>
      <c r="AA14" t="str" cm="1">
        <f t="array" ref="AA14">IF(W14="NOT RECORDED","",IF(VLOOKUP(I14,'Player-Force'!$A$3:$K$28,MATCH(W14,_xlfn._xlws.FILTER('Player-Force'!$A$3:$K$28,'Player-Force'!$A$3:$A$28=I14),0)+3,0)=0,"",VLOOKUP(I14,'Player-Force'!$A$3:$K$28,MATCH(W14,_xlfn._xlws.FILTER('Player-Force'!$A$3:$K$28,'Player-Force'!$A$3:$A$28=I14),0)+3,0)))</f>
        <v/>
      </c>
      <c r="AB14" t="str" cm="1">
        <f t="array" ref="AB14">IF(X14="NOT RECORDED","",IF(VLOOKUP(P14,'Player-Force'!$A$3:$K$28,MATCH(X14,_xlfn._xlws.FILTER('Player-Force'!$A$3:$K$28,'Player-Force'!$A$3:$A$28=P14),0)+3,0)=0,"",VLOOKUP(P14,'Player-Force'!$A$3:$K$28,MATCH(X14,_xlfn._xlws.FILTER('Player-Force'!$A$3:$K$28,'Player-Force'!$A$3:$A$28=P14),0)+3,0)))</f>
        <v/>
      </c>
      <c r="AE14" t="str">
        <f t="shared" si="0"/>
        <v>Infantry</v>
      </c>
      <c r="AF14" t="str">
        <f t="shared" si="1"/>
        <v>Tank</v>
      </c>
    </row>
    <row r="15" spans="1:32" x14ac:dyDescent="0.25">
      <c r="A15">
        <v>4</v>
      </c>
      <c r="B15">
        <v>5</v>
      </c>
      <c r="C15" t="str">
        <v>bypass</v>
      </c>
      <c r="D15" t="str">
        <v>a</v>
      </c>
      <c r="E15" t="str">
        <v>time_out</v>
      </c>
      <c r="F15" t="str">
        <v>none</v>
      </c>
      <c r="G15">
        <v>0</v>
      </c>
      <c r="H15" t="str">
        <v>m170ydpp6ytmfbyvamt2pdxme181gf8t</v>
      </c>
      <c r="I15" t="str">
        <v>Tom Dudley</v>
      </c>
      <c r="J15" t="str">
        <v>maneuver</v>
      </c>
      <c r="K15">
        <v>0</v>
      </c>
      <c r="L15">
        <v>1</v>
      </c>
      <c r="M15" t="str">
        <v>attacker</v>
      </c>
      <c r="N15">
        <v>0</v>
      </c>
      <c r="O15" t="str">
        <v>m1727vbteqpkwbc781rz8rw0397kqy2a</v>
      </c>
      <c r="P15" t="str">
        <v>Jacopo Sem</v>
      </c>
      <c r="Q15" t="str">
        <v>defend</v>
      </c>
      <c r="R15">
        <v>0</v>
      </c>
      <c r="S15">
        <v>1</v>
      </c>
      <c r="T15" t="str">
        <v>defender</v>
      </c>
      <c r="U15" t="str">
        <v>Allies</v>
      </c>
      <c r="V15" t="str">
        <v>Axis</v>
      </c>
      <c r="W15" t="str">
        <f>IF(OR(OR(U15="Allies",U15="Axis"),AND(NOT(ISERROR(SEARCH("Primary",U15))),ISERROR(SEARCH(V15,U15)))),VLOOKUP(I15,'Player-Force'!$A$3:$K$28,4,0),IF(U15=V15,AC15,VLOOKUP(I15,'Player-Force'!$A$3:$K$28,8,0)))</f>
        <v>American: Bulge</v>
      </c>
      <c r="X15" t="str">
        <f>IF(OR(OR(V15="Allies",V15="Axis"),AND(NOT(ISERROR(SEARCH("Primary",V15))),ISERROR(SEARCH(U15,V15)))),VLOOKUP(P15,'Player-Force'!$A$3:$K$28,4,0),IF(V15=U15,AD15,VLOOKUP(P15,'Player-Force'!$A$3:$K$28,8,0)))</f>
        <v>German: Berlin</v>
      </c>
      <c r="Y15" t="str" cm="1">
        <f t="array" ref="Y15">IF(W15="NOT RECORDED","",IF(VLOOKUP(I15,'Player-Force'!$A$3:$K$28,MATCH(W15,_xlfn._xlws.FILTER('Player-Force'!$A$3:$K$28,'Player-Force'!$A$3:$A$28=I15),0)+2,0)=0,"",VLOOKUP(I15,'Player-Force'!$A$3:$K$28,MATCH(W15,_xlfn._xlws.FILTER('Player-Force'!$A$3:$K$28,'Player-Force'!$A$3:$A$28=I15),0)+2,0)))</f>
        <v>Veteran M4 Sherman (Late) Tank Company</v>
      </c>
      <c r="Z15" t="str" cm="1">
        <f t="array" ref="Z15">IF(X15="NOT RECORDED","",IF(VLOOKUP(P15,'Player-Force'!$A$3:$K$28,MATCH(X15,_xlfn._xlws.FILTER('Player-Force'!$A$3:$K$28,'Player-Force'!$A$3:$A$28=P15),0)+2,0)=0,"",VLOOKUP(P15,'Player-Force'!$A$3:$K$28,MATCH(X15,_xlfn._xlws.FILTER('Player-Force'!$A$3:$K$28,'Player-Force'!$A$3:$A$28=P15),0)+2,0)))</f>
        <v>Berlin Battle Group</v>
      </c>
      <c r="AA15" t="str" cm="1">
        <f t="array" ref="AA15">IF(W15="NOT RECORDED","",IF(VLOOKUP(I15,'Player-Force'!$A$3:$K$28,MATCH(W15,_xlfn._xlws.FILTER('Player-Force'!$A$3:$K$28,'Player-Force'!$A$3:$A$28=I15),0)+3,0)=0,"",VLOOKUP(I15,'Player-Force'!$A$3:$K$28,MATCH(W15,_xlfn._xlws.FILTER('Player-Force'!$A$3:$K$28,'Player-Force'!$A$3:$A$28=I15),0)+3,0)))</f>
        <v>Battle Weary Rifle Company</v>
      </c>
      <c r="AB15" t="str" cm="1">
        <f t="array" ref="AB15">IF(X15="NOT RECORDED","",IF(VLOOKUP(P15,'Player-Force'!$A$3:$K$28,MATCH(X15,_xlfn._xlws.FILTER('Player-Force'!$A$3:$K$28,'Player-Force'!$A$3:$A$28=P15),0)+3,0)=0,"",VLOOKUP(P15,'Player-Force'!$A$3:$K$28,MATCH(X15,_xlfn._xlws.FILTER('Player-Force'!$A$3:$K$28,'Player-Force'!$A$3:$A$28=P15),0)+3,0)))</f>
        <v/>
      </c>
      <c r="AE15" t="str">
        <f t="shared" si="0"/>
        <v>Combined Tank/Infantry</v>
      </c>
      <c r="AF15" t="str">
        <f t="shared" si="1"/>
        <v>Infantry</v>
      </c>
    </row>
    <row r="16" spans="1:32" x14ac:dyDescent="0.25">
      <c r="A16">
        <v>4</v>
      </c>
      <c r="B16">
        <v>9</v>
      </c>
      <c r="C16" t="str">
        <v>bypass</v>
      </c>
      <c r="D16" t="str">
        <v>b</v>
      </c>
      <c r="E16" t="str">
        <v>time_out</v>
      </c>
      <c r="F16" t="str">
        <v>none</v>
      </c>
      <c r="G16">
        <v>0</v>
      </c>
      <c r="H16" t="str">
        <v>m17abhk4dqzbh2gjfcxwx3bars84jngw</v>
      </c>
      <c r="I16" t="str">
        <v>Lucas Helaine-Watson</v>
      </c>
      <c r="J16" t="str">
        <v>defend</v>
      </c>
      <c r="K16">
        <v>0</v>
      </c>
      <c r="L16">
        <v>3</v>
      </c>
      <c r="M16" t="str">
        <v>defender</v>
      </c>
      <c r="N16">
        <v>0</v>
      </c>
      <c r="O16" t="str">
        <v>m17d2hv9vk3g5e8etkqkbqbcmn85pv05</v>
      </c>
      <c r="P16" t="str">
        <v>Alasdair Galloway</v>
      </c>
      <c r="Q16" t="str">
        <v>maneuver</v>
      </c>
      <c r="R16">
        <v>3</v>
      </c>
      <c r="S16">
        <v>1</v>
      </c>
      <c r="T16" t="str">
        <v>attacker</v>
      </c>
      <c r="U16" t="str">
        <v>Allies</v>
      </c>
      <c r="V16" t="str">
        <v>Primary Axis</v>
      </c>
      <c r="W16" t="str">
        <f>IF(OR(OR(U16="Allies",U16="Axis"),AND(NOT(ISERROR(SEARCH("Primary",U16))),ISERROR(SEARCH(V16,U16)))),VLOOKUP(I16,'Player-Force'!$A$3:$K$28,4,0),IF(U16=V16,AC16,VLOOKUP(I16,'Player-Force'!$A$3:$K$28,8,0)))</f>
        <v>Soviet: Berlin</v>
      </c>
      <c r="X16" t="str">
        <f>IF(OR(OR(V16="Allies",V16="Axis"),AND(NOT(ISERROR(SEARCH("Primary",V16))),ISERROR(SEARCH(U16,V16)))),VLOOKUP(P16,'Player-Force'!$A$3:$K$28,4,0),IF(V16=U16,AD16,VLOOKUP(P16,'Player-Force'!$A$3:$K$28,8,0)))</f>
        <v>German: Waffen-SS</v>
      </c>
      <c r="Y16" t="str" cm="1">
        <f t="array" ref="Y16">IF(W16="NOT RECORDED","",IF(VLOOKUP(I16,'Player-Force'!$A$3:$K$28,MATCH(W16,_xlfn._xlws.FILTER('Player-Force'!$A$3:$K$28,'Player-Force'!$A$3:$A$28=I16),0)+2,0)=0,"",VLOOKUP(I16,'Player-Force'!$A$3:$K$28,MATCH(W16,_xlfn._xlws.FILTER('Player-Force'!$A$3:$K$28,'Player-Force'!$A$3:$A$28=I16),0)+2,0)))</f>
        <v>Red Banner Rifle Regiment</v>
      </c>
      <c r="Z16" t="str" cm="1">
        <f t="array" ref="Z16">IF(X16="NOT RECORDED","",IF(VLOOKUP(P16,'Player-Force'!$A$3:$K$28,MATCH(X16,_xlfn._xlws.FILTER('Player-Force'!$A$3:$K$28,'Player-Force'!$A$3:$A$28=P16),0)+2,0)=0,"",VLOOKUP(P16,'Player-Force'!$A$3:$K$28,MATCH(X16,_xlfn._xlws.FILTER('Player-Force'!$A$3:$K$28,'Player-Force'!$A$3:$A$28=P16),0)+2,0)))</f>
        <v xml:space="preserve">Panzer IV SS Tank Company </v>
      </c>
      <c r="AA16" t="str" cm="1">
        <f t="array" ref="AA16">IF(W16="NOT RECORDED","",IF(VLOOKUP(I16,'Player-Force'!$A$3:$K$28,MATCH(W16,_xlfn._xlws.FILTER('Player-Force'!$A$3:$K$28,'Player-Force'!$A$3:$A$28=I16),0)+3,0)=0,"",VLOOKUP(I16,'Player-Force'!$A$3:$K$28,MATCH(W16,_xlfn._xlws.FILTER('Player-Force'!$A$3:$K$28,'Player-Force'!$A$3:$A$28=I16),0)+3,0)))</f>
        <v/>
      </c>
      <c r="AB16" t="str" cm="1">
        <f t="array" ref="AB16">IF(X16="NOT RECORDED","",IF(VLOOKUP(P16,'Player-Force'!$A$3:$K$28,MATCH(X16,_xlfn._xlws.FILTER('Player-Force'!$A$3:$K$28,'Player-Force'!$A$3:$A$28=P16),0)+3,0)=0,"",VLOOKUP(P16,'Player-Force'!$A$3:$K$28,MATCH(X16,_xlfn._xlws.FILTER('Player-Force'!$A$3:$K$28,'Player-Force'!$A$3:$A$28=P16),0)+3,0)))</f>
        <v>Armoured SS Panzergrenadier Company</v>
      </c>
      <c r="AE16" t="str">
        <f t="shared" si="0"/>
        <v>Infantry</v>
      </c>
      <c r="AF16" t="str">
        <f t="shared" si="1"/>
        <v>Combined Tank/Mechanised Infantry</v>
      </c>
    </row>
    <row r="17" spans="1:32" x14ac:dyDescent="0.25">
      <c r="A17">
        <v>4</v>
      </c>
      <c r="B17">
        <v>5</v>
      </c>
      <c r="C17" t="str">
        <v>bypass</v>
      </c>
      <c r="D17" t="str">
        <v>a</v>
      </c>
      <c r="E17" t="str">
        <v>time_out</v>
      </c>
      <c r="F17" t="str">
        <v>none</v>
      </c>
      <c r="G17">
        <v>0</v>
      </c>
      <c r="H17" t="str">
        <v>m17c62q7r7gvzy8sta4yvpsy7n7nrqpc</v>
      </c>
      <c r="I17" t="str">
        <v>Simon Peyton</v>
      </c>
      <c r="J17" t="str">
        <v>attack</v>
      </c>
      <c r="K17">
        <v>2</v>
      </c>
      <c r="L17">
        <v>1</v>
      </c>
      <c r="M17" t="str">
        <v>attacker</v>
      </c>
      <c r="N17">
        <v>0</v>
      </c>
      <c r="O17" t="str">
        <v>m176rx4162gqb0r56mkm423ckh7mms1f</v>
      </c>
      <c r="P17" t="str">
        <v>Andy Somerville</v>
      </c>
      <c r="Q17" t="str">
        <v>maneuver</v>
      </c>
      <c r="R17">
        <v>1</v>
      </c>
      <c r="S17">
        <v>2</v>
      </c>
      <c r="T17" t="str">
        <v>defender</v>
      </c>
      <c r="U17" t="str">
        <v>Axis</v>
      </c>
      <c r="V17" t="str">
        <v>Primary Allies</v>
      </c>
      <c r="W17" t="str">
        <f>IF(OR(OR(U17="Allies",U17="Axis"),AND(NOT(ISERROR(SEARCH("Primary",U17))),ISERROR(SEARCH(V17,U17)))),VLOOKUP(I17,'Player-Force'!$A$3:$K$28,4,0),IF(U17=V17,AC17,VLOOKUP(I17,'Player-Force'!$A$3:$K$28,8,0)))</f>
        <v>German: Berlin</v>
      </c>
      <c r="X17" t="str">
        <f>IF(OR(OR(V17="Allies",V17="Axis"),AND(NOT(ISERROR(SEARCH("Primary",V17))),ISERROR(SEARCH(U17,V17)))),VLOOKUP(P17,'Player-Force'!$A$3:$K$28,4,0),IF(V17=U17,AD17,VLOOKUP(P17,'Player-Force'!$A$3:$K$28,8,0)))</f>
        <v>Soviet: Bagration</v>
      </c>
      <c r="Y17" t="str" cm="1">
        <f t="array" ref="Y17">IF(W17="NOT RECORDED","",IF(VLOOKUP(I17,'Player-Force'!$A$3:$K$28,MATCH(W17,_xlfn._xlws.FILTER('Player-Force'!$A$3:$K$28,'Player-Force'!$A$3:$A$28=I17),0)+2,0)=0,"",VLOOKUP(I17,'Player-Force'!$A$3:$K$28,MATCH(W17,_xlfn._xlws.FILTER('Player-Force'!$A$3:$K$28,'Player-Force'!$A$3:$A$28=I17),0)+2,0)))</f>
        <v>Beach Defence Grenadier Company</v>
      </c>
      <c r="Z17" t="str" cm="1">
        <f t="array" ref="Z17">IF(X17="NOT RECORDED","",IF(VLOOKUP(P17,'Player-Force'!$A$3:$K$28,MATCH(X17,_xlfn._xlws.FILTER('Player-Force'!$A$3:$K$28,'Player-Force'!$A$3:$A$28=P17),0)+2,0)=0,"",VLOOKUP(P17,'Player-Force'!$A$3:$K$28,MATCH(X17,_xlfn._xlws.FILTER('Player-Force'!$A$3:$K$28,'Player-Force'!$A$3:$A$28=P17),0)+2,0)))</f>
        <v>IS-85 Guards Heavy Tank Regiment</v>
      </c>
      <c r="AA17" t="str" cm="1">
        <f t="array" ref="AA17">IF(W17="NOT RECORDED","",IF(VLOOKUP(I17,'Player-Force'!$A$3:$K$28,MATCH(W17,_xlfn._xlws.FILTER('Player-Force'!$A$3:$K$28,'Player-Force'!$A$3:$A$28=I17),0)+3,0)=0,"",VLOOKUP(I17,'Player-Force'!$A$3:$K$28,MATCH(W17,_xlfn._xlws.FILTER('Player-Force'!$A$3:$K$28,'Player-Force'!$A$3:$A$28=I17),0)+3,0)))</f>
        <v/>
      </c>
      <c r="AB17" t="str" cm="1">
        <f t="array" ref="AB17">IF(X17="NOT RECORDED","",IF(VLOOKUP(P17,'Player-Force'!$A$3:$K$28,MATCH(X17,_xlfn._xlws.FILTER('Player-Force'!$A$3:$K$28,'Player-Force'!$A$3:$A$28=P17),0)+3,0)=0,"",VLOOKUP(P17,'Player-Force'!$A$3:$K$28,MATCH(X17,_xlfn._xlws.FILTER('Player-Force'!$A$3:$K$28,'Player-Force'!$A$3:$A$28=P17),0)+3,0)))</f>
        <v>Hero Motor Rifle Battalion</v>
      </c>
      <c r="AE17" t="str">
        <f t="shared" si="0"/>
        <v>Tank</v>
      </c>
      <c r="AF17" t="str">
        <f t="shared" si="1"/>
        <v>Combined Tank/Infantry</v>
      </c>
    </row>
    <row r="18" spans="1:32" x14ac:dyDescent="0.25">
      <c r="A18">
        <v>4</v>
      </c>
      <c r="B18">
        <v>6</v>
      </c>
      <c r="C18" t="str">
        <v>probe</v>
      </c>
      <c r="D18" t="str">
        <v>b</v>
      </c>
      <c r="E18" t="str">
        <v>objective_taken</v>
      </c>
      <c r="F18" t="str">
        <v>b</v>
      </c>
      <c r="G18">
        <v>0</v>
      </c>
      <c r="H18" t="str">
        <v>m174j7e9f6tmr5tvp1018ymte1864gw1</v>
      </c>
      <c r="I18" t="str">
        <v>Frank Keast</v>
      </c>
      <c r="J18" t="str">
        <v>maneuver</v>
      </c>
      <c r="K18">
        <v>3</v>
      </c>
      <c r="L18">
        <v>1</v>
      </c>
      <c r="M18" t="str">
        <v>defender</v>
      </c>
      <c r="N18">
        <v>0</v>
      </c>
      <c r="O18" t="str">
        <v>m1763d5xv5w06g0p77d794fths7k938v</v>
      </c>
      <c r="P18" t="str">
        <v>Åukasz Kur</v>
      </c>
      <c r="Q18" t="str">
        <v>maneuver</v>
      </c>
      <c r="R18">
        <v>1</v>
      </c>
      <c r="S18">
        <v>8</v>
      </c>
      <c r="T18" t="str">
        <v>attacker</v>
      </c>
      <c r="U18" t="str">
        <v>Primary Allies</v>
      </c>
      <c r="V18" t="str">
        <v>Axis</v>
      </c>
      <c r="W18" t="str">
        <f>IF(OR(OR(U18="Allies",U18="Axis"),AND(NOT(ISERROR(SEARCH("Primary",U18))),ISERROR(SEARCH(V18,U18)))),VLOOKUP(I18,'Player-Force'!$A$3:$K$28,4,0),IF(U18=V18,AC18,VLOOKUP(I18,'Player-Force'!$A$3:$K$28,8,0)))</f>
        <v>Romanian: Bagration (Allies)</v>
      </c>
      <c r="X18" t="str">
        <f>IF(OR(OR(V18="Allies",V18="Axis"),AND(NOT(ISERROR(SEARCH("Primary",V18))),ISERROR(SEARCH(U18,V18)))),VLOOKUP(P18,'Player-Force'!$A$3:$K$28,4,0),IF(V18=U18,AD18,VLOOKUP(P18,'Player-Force'!$A$3:$K$28,8,0)))</f>
        <v>German: Bulge</v>
      </c>
      <c r="Y18" t="str" cm="1">
        <f t="array" ref="Y18">IF(W18="NOT RECORDED","",IF(VLOOKUP(I18,'Player-Force'!$A$3:$K$28,MATCH(W18,_xlfn._xlws.FILTER('Player-Force'!$A$3:$K$28,'Player-Force'!$A$3:$A$28=I18),0)+2,0)=0,"",VLOOKUP(I18,'Player-Force'!$A$3:$K$28,MATCH(W18,_xlfn._xlws.FILTER('Player-Force'!$A$3:$K$28,'Player-Force'!$A$3:$A$28=I18),0)+2,0)))</f>
        <v>Motorised Rifle Company</v>
      </c>
      <c r="Z18" t="str" cm="1">
        <f t="array" ref="Z18">IF(X18="NOT RECORDED","",IF(VLOOKUP(P18,'Player-Force'!$A$3:$K$28,MATCH(X18,_xlfn._xlws.FILTER('Player-Force'!$A$3:$K$28,'Player-Force'!$A$3:$A$28=P18),0)+2,0)=0,"",VLOOKUP(P18,'Player-Force'!$A$3:$K$28,MATCH(X18,_xlfn._xlws.FILTER('Player-Force'!$A$3:$K$28,'Player-Force'!$A$3:$A$28=P18),0)+2,0)))</f>
        <v>Brigade Armoured Assault Company</v>
      </c>
      <c r="AA18" t="str" cm="1">
        <f t="array" ref="AA18">IF(W18="NOT RECORDED","",IF(VLOOKUP(I18,'Player-Force'!$A$3:$K$28,MATCH(W18,_xlfn._xlws.FILTER('Player-Force'!$A$3:$K$28,'Player-Force'!$A$3:$A$28=I18),0)+3,0)=0,"",VLOOKUP(I18,'Player-Force'!$A$3:$K$28,MATCH(W18,_xlfn._xlws.FILTER('Player-Force'!$A$3:$K$28,'Player-Force'!$A$3:$A$28=I18),0)+3,0)))</f>
        <v>Hero T-34 (85mm) Tank Battalion (Allied Formation)</v>
      </c>
      <c r="AB18" t="str" cm="1">
        <f t="array" ref="AB18">IF(X18="NOT RECORDED","",IF(VLOOKUP(P18,'Player-Force'!$A$3:$K$28,MATCH(X18,_xlfn._xlws.FILTER('Player-Force'!$A$3:$K$28,'Player-Force'!$A$3:$A$28=P18),0)+3,0)=0,"",VLOOKUP(P18,'Player-Force'!$A$3:$K$28,MATCH(X18,_xlfn._xlws.FILTER('Player-Force'!$A$3:$K$28,'Player-Force'!$A$3:$A$28=P18),0)+3,0)))</f>
        <v/>
      </c>
      <c r="AE18" t="str">
        <f t="shared" si="0"/>
        <v>Combined Tank/Infantry</v>
      </c>
      <c r="AF18" t="str">
        <f t="shared" si="1"/>
        <v>Mechanised Infantry</v>
      </c>
    </row>
    <row r="19" spans="1:32" x14ac:dyDescent="0.25">
      <c r="A19">
        <v>4</v>
      </c>
      <c r="B19">
        <v>4</v>
      </c>
      <c r="C19" t="str">
        <v>its_a_trap</v>
      </c>
      <c r="D19" t="str">
        <v>b</v>
      </c>
      <c r="E19" t="str">
        <v>objective_taken</v>
      </c>
      <c r="F19" t="str">
        <v>b</v>
      </c>
      <c r="G19">
        <v>0</v>
      </c>
      <c r="H19" t="str">
        <v>m17dvz8k468ssw64qe57e65y9186rwt8</v>
      </c>
      <c r="I19" t="str">
        <v>Keith Martin-Smith</v>
      </c>
      <c r="J19" t="str">
        <v>defend</v>
      </c>
      <c r="K19">
        <v>1</v>
      </c>
      <c r="L19">
        <v>2</v>
      </c>
      <c r="M19" t="str">
        <v>defender</v>
      </c>
      <c r="N19">
        <v>0</v>
      </c>
      <c r="O19" t="str">
        <v>m17cms3zc3pkg59r1jj41s7txn7nbk3w</v>
      </c>
      <c r="P19" t="str">
        <v>Szymon Granat</v>
      </c>
      <c r="Q19" t="str">
        <v>attack</v>
      </c>
      <c r="R19">
        <v>2</v>
      </c>
      <c r="S19">
        <v>7</v>
      </c>
      <c r="T19" t="str">
        <v>attacker</v>
      </c>
      <c r="U19" t="str">
        <v>Allies</v>
      </c>
      <c r="V19" t="str">
        <v>Primary Axis</v>
      </c>
      <c r="W19" t="str">
        <f>IF(OR(OR(U19="Allies",U19="Axis"),AND(NOT(ISERROR(SEARCH("Primary",U19))),ISERROR(SEARCH(V19,U19)))),VLOOKUP(I19,'Player-Force'!$A$3:$K$28,4,0),IF(U19=V19,AC19,VLOOKUP(I19,'Player-Force'!$A$3:$K$28,8,0)))</f>
        <v>Soviet: Bagration</v>
      </c>
      <c r="X19" t="str">
        <f>IF(OR(OR(V19="Allies",V19="Axis"),AND(NOT(ISERROR(SEARCH("Primary",V19))),ISERROR(SEARCH(U19,V19)))),VLOOKUP(P19,'Player-Force'!$A$3:$K$28,4,0),IF(V19=U19,AD19,VLOOKUP(P19,'Player-Force'!$A$3:$K$28,8,0)))</f>
        <v>Hungarian: Bagration (Axis)</v>
      </c>
      <c r="Y19" t="str" cm="1">
        <f t="array" ref="Y19">IF(W19="NOT RECORDED","",IF(VLOOKUP(I19,'Player-Force'!$A$3:$K$28,MATCH(W19,_xlfn._xlws.FILTER('Player-Force'!$A$3:$K$28,'Player-Force'!$A$3:$A$28=I19),0)+2,0)=0,"",VLOOKUP(I19,'Player-Force'!$A$3:$K$28,MATCH(W19,_xlfn._xlws.FILTER('Player-Force'!$A$3:$K$28,'Player-Force'!$A$3:$A$28=I19),0)+2,0)))</f>
        <v>Medium SP Artillery Regiment</v>
      </c>
      <c r="Z19" t="str" cm="1">
        <f t="array" ref="Z19">IF(X19="NOT RECORDED","",IF(VLOOKUP(P19,'Player-Force'!$A$3:$K$28,MATCH(X19,_xlfn._xlws.FILTER('Player-Force'!$A$3:$K$28,'Player-Force'!$A$3:$A$28=P19),0)+2,0)=0,"",VLOOKUP(P19,'Player-Force'!$A$3:$K$28,MATCH(X19,_xlfn._xlws.FILTER('Player-Force'!$A$3:$K$28,'Player-Force'!$A$3:$A$28=P19),0)+2,0)))</f>
        <v>Turán Tank Company</v>
      </c>
      <c r="AA19" t="str" cm="1">
        <f t="array" ref="AA19">IF(W19="NOT RECORDED","",IF(VLOOKUP(I19,'Player-Force'!$A$3:$K$28,MATCH(W19,_xlfn._xlws.FILTER('Player-Force'!$A$3:$K$28,'Player-Force'!$A$3:$A$28=I19),0)+3,0)=0,"",VLOOKUP(I19,'Player-Force'!$A$3:$K$28,MATCH(W19,_xlfn._xlws.FILTER('Player-Force'!$A$3:$K$28,'Player-Force'!$A$3:$A$28=I19),0)+3,0)))</f>
        <v>Hero Motor Rifle Battalion</v>
      </c>
      <c r="AB19" t="str" cm="1">
        <f t="array" ref="AB19">IF(X19="NOT RECORDED","",IF(VLOOKUP(P19,'Player-Force'!$A$3:$K$28,MATCH(X19,_xlfn._xlws.FILTER('Player-Force'!$A$3:$K$28,'Player-Force'!$A$3:$A$28=P19),0)+3,0)=0,"",VLOOKUP(P19,'Player-Force'!$A$3:$K$28,MATCH(X19,_xlfn._xlws.FILTER('Player-Force'!$A$3:$K$28,'Player-Force'!$A$3:$A$28=P19),0)+3,0)))</f>
        <v/>
      </c>
      <c r="AE19" t="str">
        <f t="shared" si="0"/>
        <v>Combined Tank/Infantry</v>
      </c>
      <c r="AF19" t="str">
        <f t="shared" si="1"/>
        <v>Tank</v>
      </c>
    </row>
    <row r="20" spans="1:32" x14ac:dyDescent="0.25">
      <c r="A20">
        <v>4</v>
      </c>
      <c r="B20">
        <v>4</v>
      </c>
      <c r="C20" t="str">
        <v>probe</v>
      </c>
      <c r="D20" t="str">
        <v>a</v>
      </c>
      <c r="E20" t="str">
        <v>objective_taken</v>
      </c>
      <c r="F20" t="str">
        <v>a</v>
      </c>
      <c r="G20">
        <v>0</v>
      </c>
      <c r="H20" t="str">
        <v>m17avsxcwawj8dkhmc16pz013986hwv4</v>
      </c>
      <c r="I20" t="str">
        <v>Brian Wilson</v>
      </c>
      <c r="J20" t="str">
        <v>attack</v>
      </c>
      <c r="K20">
        <v>0</v>
      </c>
      <c r="L20">
        <v>8</v>
      </c>
      <c r="M20" t="str">
        <v>attacker</v>
      </c>
      <c r="N20">
        <v>0</v>
      </c>
      <c r="O20" t="str">
        <v>m171gyqpf7xdaf4m1nj9cyhbsn86sgt1</v>
      </c>
      <c r="P20" t="str">
        <v>dab</v>
      </c>
      <c r="Q20" t="str">
        <v>attack</v>
      </c>
      <c r="R20">
        <v>3</v>
      </c>
      <c r="S20">
        <v>1</v>
      </c>
      <c r="T20" t="str">
        <v>defender</v>
      </c>
      <c r="U20" t="str">
        <v>Axis</v>
      </c>
      <c r="V20" t="str">
        <v>Axis</v>
      </c>
      <c r="W20" t="str">
        <f>IF(OR(OR(U20="Allies",U20="Axis"),AND(NOT(ISERROR(SEARCH("Primary",U20))),ISERROR(SEARCH(V20,U20)))),VLOOKUP(I20,'Player-Force'!$A$3:$K$28,4,0),IF(U20=V20,AC20,VLOOKUP(I20,'Player-Force'!$A$3:$K$28,8,0)))</f>
        <v>German: Waffen-SS</v>
      </c>
      <c r="X20" t="str">
        <f>IF(OR(OR(V20="Allies",V20="Axis"),AND(NOT(ISERROR(SEARCH("Primary",V20))),ISERROR(SEARCH(U20,V20)))),VLOOKUP(P20,'Player-Force'!$A$3:$K$28,4,0),IF(V20=U20,AD20,VLOOKUP(P20,'Player-Force'!$A$3:$K$28,8,0)))</f>
        <v>German: Berlin</v>
      </c>
      <c r="Y20" t="str" cm="1">
        <f t="array" ref="Y20">IF(W20="NOT RECORDED","",IF(VLOOKUP(I20,'Player-Force'!$A$3:$K$28,MATCH(W20,_xlfn._xlws.FILTER('Player-Force'!$A$3:$K$28,'Player-Force'!$A$3:$A$28=I20),0)+2,0)=0,"",VLOOKUP(I20,'Player-Force'!$A$3:$K$28,MATCH(W20,_xlfn._xlws.FILTER('Player-Force'!$A$3:$K$28,'Player-Force'!$A$3:$A$28=I20),0)+2,0)))</f>
        <v>StuG SS Tank Company</v>
      </c>
      <c r="Z20" t="str" cm="1">
        <f t="array" ref="Z20">IF(X20="NOT RECORDED","",IF(VLOOKUP(P20,'Player-Force'!$A$3:$K$28,MATCH(X20,_xlfn._xlws.FILTER('Player-Force'!$A$3:$K$28,'Player-Force'!$A$3:$A$28=P20),0)+2,0)=0,"",VLOOKUP(P20,'Player-Force'!$A$3:$K$28,MATCH(X20,_xlfn._xlws.FILTER('Player-Force'!$A$3:$K$28,'Player-Force'!$A$3:$A$28=P20),0)+2,0)))</f>
        <v>Heavy Tank Training Company</v>
      </c>
      <c r="AA20" t="str" cm="1">
        <f t="array" ref="AA20">IF(W20="NOT RECORDED","",IF(VLOOKUP(I20,'Player-Force'!$A$3:$K$28,MATCH(W20,_xlfn._xlws.FILTER('Player-Force'!$A$3:$K$28,'Player-Force'!$A$3:$A$28=I20),0)+3,0)=0,"",VLOOKUP(I20,'Player-Force'!$A$3:$K$28,MATCH(W20,_xlfn._xlws.FILTER('Player-Force'!$A$3:$K$28,'Player-Force'!$A$3:$A$28=I20),0)+3,0)))</f>
        <v/>
      </c>
      <c r="AB20" t="str" cm="1">
        <f t="array" ref="AB20">IF(X20="NOT RECORDED","",IF(VLOOKUP(P20,'Player-Force'!$A$3:$K$28,MATCH(X20,_xlfn._xlws.FILTER('Player-Force'!$A$3:$K$28,'Player-Force'!$A$3:$A$28=P20),0)+3,0)=0,"",VLOOKUP(P20,'Player-Force'!$A$3:$K$28,MATCH(X20,_xlfn._xlws.FILTER('Player-Force'!$A$3:$K$28,'Player-Force'!$A$3:$A$28=P20),0)+3,0)))</f>
        <v/>
      </c>
      <c r="AE20" t="str">
        <f t="shared" si="0"/>
        <v>Tank</v>
      </c>
      <c r="AF20" t="str">
        <f t="shared" si="1"/>
        <v>Tank</v>
      </c>
    </row>
    <row r="21" spans="1:32" x14ac:dyDescent="0.25">
      <c r="A21">
        <v>4</v>
      </c>
      <c r="B21">
        <v>6</v>
      </c>
      <c r="C21" t="str">
        <v>probe</v>
      </c>
      <c r="D21" t="str">
        <v>a</v>
      </c>
      <c r="E21" t="str">
        <v>time_out</v>
      </c>
      <c r="F21" t="str">
        <v>none</v>
      </c>
      <c r="G21">
        <v>0</v>
      </c>
      <c r="H21" t="str">
        <v>m1741jc3ysnb87stgxxpfx159s7qjzs9</v>
      </c>
      <c r="I21" t="str">
        <v>Gareth Lewis</v>
      </c>
      <c r="J21" t="str">
        <v>defend</v>
      </c>
      <c r="K21">
        <v>3</v>
      </c>
      <c r="L21">
        <v>2</v>
      </c>
      <c r="M21" t="str">
        <v>attacker</v>
      </c>
      <c r="N21">
        <v>0</v>
      </c>
      <c r="O21" t="str">
        <v>m173e4ca5ymc0zvp6nnnfz8kqh85hdrg</v>
      </c>
      <c r="P21" t="str">
        <v>Raymond Young</v>
      </c>
      <c r="Q21" t="str">
        <v>defend</v>
      </c>
      <c r="R21">
        <v>2</v>
      </c>
      <c r="S21">
        <v>3</v>
      </c>
      <c r="T21" t="str">
        <v>defender</v>
      </c>
      <c r="U21" t="str">
        <v>Axis</v>
      </c>
      <c r="V21" t="str">
        <v>Axis</v>
      </c>
      <c r="W21" t="str">
        <f>IF(OR(OR(U21="Allies",U21="Axis"),AND(NOT(ISERROR(SEARCH("Primary",U21))),ISERROR(SEARCH(V21,U21)))),VLOOKUP(I21,'Player-Force'!$A$3:$K$28,4,0),IF(U21=V21,AC21,VLOOKUP(I21,'Player-Force'!$A$3:$K$28,8,0)))</f>
        <v>German: D-Day</v>
      </c>
      <c r="X21" t="str">
        <f>IF(OR(OR(V21="Allies",V21="Axis"),AND(NOT(ISERROR(SEARCH("Primary",V21))),ISERROR(SEARCH(U21,V21)))),VLOOKUP(P21,'Player-Force'!$A$3:$K$28,4,0),IF(V21=U21,AD21,VLOOKUP(P21,'Player-Force'!$A$3:$K$28,8,0)))</f>
        <v>German: D-Day</v>
      </c>
      <c r="Y21" t="str" cm="1">
        <f t="array" ref="Y21">IF(W21="NOT RECORDED","",IF(VLOOKUP(I21,'Player-Force'!$A$3:$K$28,MATCH(W21,_xlfn._xlws.FILTER('Player-Force'!$A$3:$K$28,'Player-Force'!$A$3:$A$28=I21),0)+2,0)=0,"",VLOOKUP(I21,'Player-Force'!$A$3:$K$28,MATCH(W21,_xlfn._xlws.FILTER('Player-Force'!$A$3:$K$28,'Player-Force'!$A$3:$A$28=I21),0)+2,0)))</f>
        <v>Beach Defence Grenadier Company</v>
      </c>
      <c r="Z21" t="str" cm="1">
        <f t="array" ref="Z21">IF(X21="NOT RECORDED","",IF(VLOOKUP(P21,'Player-Force'!$A$3:$K$28,MATCH(X21,_xlfn._xlws.FILTER('Player-Force'!$A$3:$K$28,'Player-Force'!$A$3:$A$28=P21),0)+2,0)=0,"",VLOOKUP(P21,'Player-Force'!$A$3:$K$28,MATCH(X21,_xlfn._xlws.FILTER('Player-Force'!$A$3:$K$28,'Player-Force'!$A$3:$A$28=P21),0)+2,0)))</f>
        <v>Beach Defence Grenadier Company</v>
      </c>
      <c r="AA21" t="str" cm="1">
        <f t="array" ref="AA21">IF(W21="NOT RECORDED","",IF(VLOOKUP(I21,'Player-Force'!$A$3:$K$28,MATCH(W21,_xlfn._xlws.FILTER('Player-Force'!$A$3:$K$28,'Player-Force'!$A$3:$A$28=I21),0)+3,0)=0,"",VLOOKUP(I21,'Player-Force'!$A$3:$K$28,MATCH(W21,_xlfn._xlws.FILTER('Player-Force'!$A$3:$K$28,'Player-Force'!$A$3:$A$28=I21),0)+3,0)))</f>
        <v/>
      </c>
      <c r="AB21" t="str" cm="1">
        <f t="array" ref="AB21">IF(X21="NOT RECORDED","",IF(VLOOKUP(P21,'Player-Force'!$A$3:$K$28,MATCH(X21,_xlfn._xlws.FILTER('Player-Force'!$A$3:$K$28,'Player-Force'!$A$3:$A$28=P21),0)+3,0)=0,"",VLOOKUP(P21,'Player-Force'!$A$3:$K$28,MATCH(X21,_xlfn._xlws.FILTER('Player-Force'!$A$3:$K$28,'Player-Force'!$A$3:$A$28=P21),0)+3,0)))</f>
        <v/>
      </c>
      <c r="AE21" t="str">
        <f t="shared" si="0"/>
        <v>Infantry</v>
      </c>
      <c r="AF21" t="str">
        <f t="shared" si="1"/>
        <v>Infantry</v>
      </c>
    </row>
    <row r="22" spans="1:32" x14ac:dyDescent="0.25">
      <c r="A22">
        <v>4</v>
      </c>
      <c r="B22">
        <v>8</v>
      </c>
      <c r="C22" t="str">
        <v>probe</v>
      </c>
      <c r="D22" t="str">
        <v>b</v>
      </c>
      <c r="E22" t="str">
        <v>time_out</v>
      </c>
      <c r="F22" t="str">
        <v>none</v>
      </c>
      <c r="G22">
        <v>0</v>
      </c>
      <c r="H22" t="str">
        <v>m175sbdxx1r2zq5jn6mdscsexx86gzn2</v>
      </c>
      <c r="I22" t="str">
        <v>Laurence Kettle</v>
      </c>
      <c r="J22" t="str">
        <v>defend</v>
      </c>
      <c r="K22">
        <v>3</v>
      </c>
      <c r="L22">
        <v>3</v>
      </c>
      <c r="M22" t="str">
        <v>defender</v>
      </c>
      <c r="N22">
        <v>0</v>
      </c>
      <c r="O22" t="str">
        <v>m17d9e98h7dzkz9ks8e8tn0jmh7ncmkw</v>
      </c>
      <c r="P22" t="str">
        <v>Alex Armitage</v>
      </c>
      <c r="Q22" t="str">
        <v>defend</v>
      </c>
      <c r="R22">
        <v>4</v>
      </c>
      <c r="S22">
        <v>3</v>
      </c>
      <c r="T22" t="str">
        <v>attacker</v>
      </c>
      <c r="U22" t="str">
        <v>Primary Allies</v>
      </c>
      <c r="V22" t="str">
        <v>Axis</v>
      </c>
      <c r="W22" t="str">
        <f>IF(OR(OR(U22="Allies",U22="Axis"),AND(NOT(ISERROR(SEARCH("Primary",U22))),ISERROR(SEARCH(V22,U22)))),VLOOKUP(I22,'Player-Force'!$A$3:$K$28,4,0),IF(U22=V22,AC22,VLOOKUP(I22,'Player-Force'!$A$3:$K$28,8,0)))</f>
        <v>Soviet: Bagration</v>
      </c>
      <c r="X22" t="str">
        <f>IF(OR(OR(V22="Allies",V22="Axis"),AND(NOT(ISERROR(SEARCH("Primary",V22))),ISERROR(SEARCH(U22,V22)))),VLOOKUP(P22,'Player-Force'!$A$3:$K$28,4,0),IF(V22=U22,AD22,VLOOKUP(P22,'Player-Force'!$A$3:$K$28,8,0)))</f>
        <v>German: Fortress Europe</v>
      </c>
      <c r="Y22" t="str" cm="1">
        <f t="array" ref="Y22">IF(W22="NOT RECORDED","",IF(VLOOKUP(I22,'Player-Force'!$A$3:$K$28,MATCH(W22,_xlfn._xlws.FILTER('Player-Force'!$A$3:$K$28,'Player-Force'!$A$3:$A$28=I22),0)+2,0)=0,"",VLOOKUP(I22,'Player-Force'!$A$3:$K$28,MATCH(W22,_xlfn._xlws.FILTER('Player-Force'!$A$3:$K$28,'Player-Force'!$A$3:$A$28=I22),0)+2,0)))</f>
        <v>T-34 Tank Battalion</v>
      </c>
      <c r="Z22" t="str" cm="1">
        <f t="array" ref="Z22">IF(X22="NOT RECORDED","",IF(VLOOKUP(P22,'Player-Force'!$A$3:$K$28,MATCH(X22,_xlfn._xlws.FILTER('Player-Force'!$A$3:$K$28,'Player-Force'!$A$3:$A$28=P22),0)+2,0)=0,"",VLOOKUP(P22,'Player-Force'!$A$3:$K$28,MATCH(X22,_xlfn._xlws.FILTER('Player-Force'!$A$3:$K$28,'Player-Force'!$A$3:$A$28=P22),0)+2,0)))</f>
        <v>Berlin Battle Group</v>
      </c>
      <c r="AA22" t="str" cm="1">
        <f t="array" ref="AA22">IF(W22="NOT RECORDED","",IF(VLOOKUP(I22,'Player-Force'!$A$3:$K$28,MATCH(W22,_xlfn._xlws.FILTER('Player-Force'!$A$3:$K$28,'Player-Force'!$A$3:$A$28=I22),0)+3,0)=0,"",VLOOKUP(I22,'Player-Force'!$A$3:$K$28,MATCH(W22,_xlfn._xlws.FILTER('Player-Force'!$A$3:$K$28,'Player-Force'!$A$3:$A$28=I22),0)+3,0)))</f>
        <v/>
      </c>
      <c r="AB22" t="str" cm="1">
        <f t="array" ref="AB22">IF(X22="NOT RECORDED","",IF(VLOOKUP(P22,'Player-Force'!$A$3:$K$28,MATCH(X22,_xlfn._xlws.FILTER('Player-Force'!$A$3:$K$28,'Player-Force'!$A$3:$A$28=P22),0)+3,0)=0,"",VLOOKUP(P22,'Player-Force'!$A$3:$K$28,MATCH(X22,_xlfn._xlws.FILTER('Player-Force'!$A$3:$K$28,'Player-Force'!$A$3:$A$28=P22),0)+3,0)))</f>
        <v/>
      </c>
      <c r="AE22" t="str">
        <f t="shared" si="0"/>
        <v>Tank</v>
      </c>
      <c r="AF22" t="str">
        <f t="shared" si="1"/>
        <v>Infantry</v>
      </c>
    </row>
    <row r="23" spans="1:32" x14ac:dyDescent="0.25">
      <c r="A23">
        <v>4</v>
      </c>
      <c r="B23">
        <v>6</v>
      </c>
      <c r="C23" t="str">
        <v>bypass</v>
      </c>
      <c r="D23" t="str">
        <v>b</v>
      </c>
      <c r="E23" t="str">
        <v>objective_taken</v>
      </c>
      <c r="F23" t="str">
        <v>b</v>
      </c>
      <c r="G23">
        <v>0</v>
      </c>
      <c r="H23" t="str">
        <v>m17313rf66ezwenk8k3rjjzkgs86n1ws</v>
      </c>
      <c r="I23" t="str">
        <v>Mark Taylor</v>
      </c>
      <c r="J23" t="str">
        <v>defend</v>
      </c>
      <c r="K23">
        <v>2</v>
      </c>
      <c r="L23">
        <v>2</v>
      </c>
      <c r="M23" t="str">
        <v>defender</v>
      </c>
      <c r="N23">
        <v>0</v>
      </c>
      <c r="O23" t="str">
        <v>m176kt9se0tm1y2dxtkqkthwxd86tzsv</v>
      </c>
      <c r="P23" t="str">
        <v>Leo Humphreys</v>
      </c>
      <c r="Q23" t="str">
        <v>maneuver</v>
      </c>
      <c r="R23">
        <v>2</v>
      </c>
      <c r="S23">
        <v>7</v>
      </c>
      <c r="T23" t="str">
        <v>attacker</v>
      </c>
      <c r="U23" t="str">
        <v>Axis</v>
      </c>
      <c r="V23" t="str">
        <v>Allies</v>
      </c>
      <c r="W23" t="str">
        <f>IF(OR(OR(U23="Allies",U23="Axis"),AND(NOT(ISERROR(SEARCH("Primary",U23))),ISERROR(SEARCH(V23,U23)))),VLOOKUP(I23,'Player-Force'!$A$3:$K$28,4,0),IF(U23=V23,AC23,VLOOKUP(I23,'Player-Force'!$A$3:$K$28,8,0)))</f>
        <v>German: Berlin</v>
      </c>
      <c r="X23" t="str">
        <f>IF(OR(OR(V23="Allies",V23="Axis"),AND(NOT(ISERROR(SEARCH("Primary",V23))),ISERROR(SEARCH(U23,V23)))),VLOOKUP(P23,'Player-Force'!$A$3:$K$28,4,0),IF(V23=U23,AD23,VLOOKUP(P23,'Player-Force'!$A$3:$K$28,8,0)))</f>
        <v>British: D-Day</v>
      </c>
      <c r="Y23" t="str" cm="1">
        <f t="array" ref="Y23">IF(W23="NOT RECORDED","",IF(VLOOKUP(I23,'Player-Force'!$A$3:$K$28,MATCH(W23,_xlfn._xlws.FILTER('Player-Force'!$A$3:$K$28,'Player-Force'!$A$3:$A$28=I23),0)+2,0)=0,"",VLOOKUP(I23,'Player-Force'!$A$3:$K$28,MATCH(W23,_xlfn._xlws.FILTER('Player-Force'!$A$3:$K$28,'Player-Force'!$A$3:$A$28=I23),0)+2,0)))</f>
        <v>Panzer Battle Group</v>
      </c>
      <c r="Z23" t="str" cm="1">
        <f t="array" ref="Z23">IF(X23="NOT RECORDED","",IF(VLOOKUP(P23,'Player-Force'!$A$3:$K$28,MATCH(X23,_xlfn._xlws.FILTER('Player-Force'!$A$3:$K$28,'Player-Force'!$A$3:$A$28=P23),0)+2,0)=0,"",VLOOKUP(P23,'Player-Force'!$A$3:$K$28,MATCH(X23,_xlfn._xlws.FILTER('Player-Force'!$A$3:$K$28,'Player-Force'!$A$3:$A$28=P23),0)+2,0)))</f>
        <v>Desert Rats Cromwell Armoured Squadron</v>
      </c>
      <c r="AA23" t="str" cm="1">
        <f t="array" ref="AA23">IF(W23="NOT RECORDED","",IF(VLOOKUP(I23,'Player-Force'!$A$3:$K$28,MATCH(W23,_xlfn._xlws.FILTER('Player-Force'!$A$3:$K$28,'Player-Force'!$A$3:$A$28=I23),0)+3,0)=0,"",VLOOKUP(I23,'Player-Force'!$A$3:$K$28,MATCH(W23,_xlfn._xlws.FILTER('Player-Force'!$A$3:$K$28,'Player-Force'!$A$3:$A$28=I23),0)+3,0)))</f>
        <v>Berlin Battle Group</v>
      </c>
      <c r="AB23" t="str" cm="1">
        <f t="array" ref="AB23">IF(X23="NOT RECORDED","",IF(VLOOKUP(P23,'Player-Force'!$A$3:$K$28,MATCH(X23,_xlfn._xlws.FILTER('Player-Force'!$A$3:$K$28,'Player-Force'!$A$3:$A$28=P23),0)+3,0)=0,"",VLOOKUP(P23,'Player-Force'!$A$3:$K$28,MATCH(X23,_xlfn._xlws.FILTER('Player-Force'!$A$3:$K$28,'Player-Force'!$A$3:$A$28=P23),0)+3,0)))</f>
        <v/>
      </c>
      <c r="AE23" t="str">
        <f t="shared" si="0"/>
        <v>Combined Tank/Infantry</v>
      </c>
      <c r="AF23" t="str">
        <f t="shared" si="1"/>
        <v>Tank</v>
      </c>
    </row>
    <row r="24" spans="1:32" x14ac:dyDescent="0.25">
      <c r="A24">
        <v>4</v>
      </c>
      <c r="B24">
        <v>5</v>
      </c>
      <c r="C24" t="str">
        <v>bypass</v>
      </c>
      <c r="D24" t="str">
        <v>a</v>
      </c>
      <c r="E24" t="str">
        <v>objective_taken</v>
      </c>
      <c r="F24" t="str">
        <v>a</v>
      </c>
      <c r="G24">
        <v>0</v>
      </c>
      <c r="H24" t="str">
        <v>m176m7qa02ds8hsgzgbm4e4ssn7rhm68</v>
      </c>
      <c r="I24" t="str">
        <v>Kenneth Alexander</v>
      </c>
      <c r="J24" t="str">
        <v>maneuver</v>
      </c>
      <c r="K24">
        <v>1</v>
      </c>
      <c r="L24">
        <v>8</v>
      </c>
      <c r="M24" t="str">
        <v>attacker</v>
      </c>
      <c r="N24">
        <v>0</v>
      </c>
      <c r="O24" t="str">
        <v>m17dd8ekynshgzsaqzrqa04dh585wjhe</v>
      </c>
      <c r="P24" t="str">
        <v xml:space="preserve">Jakub WÅ‚osowicz </v>
      </c>
      <c r="Q24" t="str">
        <v>defend</v>
      </c>
      <c r="R24">
        <v>2</v>
      </c>
      <c r="S24">
        <v>1</v>
      </c>
      <c r="T24" t="str">
        <v>defender</v>
      </c>
      <c r="U24" t="str">
        <v>Axis</v>
      </c>
      <c r="V24" t="str">
        <v>Allies</v>
      </c>
      <c r="W24" t="str">
        <f>IF(OR(OR(U24="Allies",U24="Axis"),AND(NOT(ISERROR(SEARCH("Primary",U24))),ISERROR(SEARCH(V24,U24)))),VLOOKUP(I24,'Player-Force'!$A$3:$K$28,4,0),IF(U24=V24,AC24,VLOOKUP(I24,'Player-Force'!$A$3:$K$28,8,0)))</f>
        <v>German: Bagration</v>
      </c>
      <c r="X24" t="str">
        <f>IF(OR(OR(V24="Allies",V24="Axis"),AND(NOT(ISERROR(SEARCH("Primary",V24))),ISERROR(SEARCH(U24,V24)))),VLOOKUP(P24,'Player-Force'!$A$3:$K$28,4,0),IF(V24=U24,AD24,VLOOKUP(P24,'Player-Force'!$A$3:$K$28,8,0)))</f>
        <v>Soviet: Bagration</v>
      </c>
      <c r="Y24" t="str" cm="1">
        <f t="array" ref="Y24">IF(W24="NOT RECORDED","",IF(VLOOKUP(I24,'Player-Force'!$A$3:$K$28,MATCH(W24,_xlfn._xlws.FILTER('Player-Force'!$A$3:$K$28,'Player-Force'!$A$3:$A$28=I24),0)+2,0)=0,"",VLOOKUP(I24,'Player-Force'!$A$3:$K$28,MATCH(W24,_xlfn._xlws.FILTER('Player-Force'!$A$3:$K$28,'Player-Force'!$A$3:$A$28=I24),0)+2,0)))</f>
        <v>Panther Tank Company</v>
      </c>
      <c r="Z24" t="str" cm="1">
        <f t="array" ref="Z24">IF(X24="NOT RECORDED","",IF(VLOOKUP(P24,'Player-Force'!$A$3:$K$28,MATCH(X24,_xlfn._xlws.FILTER('Player-Force'!$A$3:$K$28,'Player-Force'!$A$3:$A$28=P24),0)+2,0)=0,"",VLOOKUP(P24,'Player-Force'!$A$3:$K$28,MATCH(X24,_xlfn._xlws.FILTER('Player-Force'!$A$3:$K$28,'Player-Force'!$A$3:$A$28=P24),0)+2,0)))</f>
        <v>Hero Motor Rifle Battalion</v>
      </c>
      <c r="AA24" t="str" cm="1">
        <f t="array" ref="AA24">IF(W24="NOT RECORDED","",IF(VLOOKUP(I24,'Player-Force'!$A$3:$K$28,MATCH(W24,_xlfn._xlws.FILTER('Player-Force'!$A$3:$K$28,'Player-Force'!$A$3:$A$28=I24),0)+3,0)=0,"",VLOOKUP(I24,'Player-Force'!$A$3:$K$28,MATCH(W24,_xlfn._xlws.FILTER('Player-Force'!$A$3:$K$28,'Player-Force'!$A$3:$A$28=I24),0)+3,0)))</f>
        <v/>
      </c>
      <c r="AB24" t="str" cm="1">
        <f t="array" ref="AB24">IF(X24="NOT RECORDED","",IF(VLOOKUP(P24,'Player-Force'!$A$3:$K$28,MATCH(X24,_xlfn._xlws.FILTER('Player-Force'!$A$3:$K$28,'Player-Force'!$A$3:$A$28=P24),0)+3,0)=0,"",VLOOKUP(P24,'Player-Force'!$A$3:$K$28,MATCH(X24,_xlfn._xlws.FILTER('Player-Force'!$A$3:$K$28,'Player-Force'!$A$3:$A$28=P24),0)+3,0)))</f>
        <v/>
      </c>
      <c r="AE24" t="str">
        <f t="shared" si="0"/>
        <v>Tank</v>
      </c>
      <c r="AF24" t="str">
        <f t="shared" si="1"/>
        <v>Infantry</v>
      </c>
    </row>
    <row r="25" spans="1:32" x14ac:dyDescent="0.25">
      <c r="A25">
        <v>4</v>
      </c>
      <c r="B25">
        <v>6</v>
      </c>
      <c r="C25" t="str">
        <v>bypass</v>
      </c>
      <c r="D25" t="str">
        <v>a</v>
      </c>
      <c r="E25" t="str">
        <v>objective_taken</v>
      </c>
      <c r="F25" t="str">
        <v>a</v>
      </c>
      <c r="G25">
        <v>0</v>
      </c>
      <c r="H25" t="str">
        <v>m174njm2q4jceqsc68swfjfyq57nw34f</v>
      </c>
      <c r="I25" t="str">
        <v>Anthony Himycz</v>
      </c>
      <c r="J25" t="str">
        <v>maneuver</v>
      </c>
      <c r="K25">
        <v>1</v>
      </c>
      <c r="L25">
        <v>8</v>
      </c>
      <c r="M25" t="str">
        <v>attacker</v>
      </c>
      <c r="N25">
        <v>0</v>
      </c>
      <c r="O25" t="str">
        <v>m178pgzek563414k5ppqxnqfph85kmqk</v>
      </c>
      <c r="P25" t="str">
        <v>Chris Stone</v>
      </c>
      <c r="Q25" t="str">
        <v>defend</v>
      </c>
      <c r="R25">
        <v>1</v>
      </c>
      <c r="S25">
        <v>1</v>
      </c>
      <c r="T25" t="str">
        <v>defender</v>
      </c>
      <c r="U25" t="str">
        <v>Allies</v>
      </c>
      <c r="V25" t="str">
        <v>Axis</v>
      </c>
      <c r="W25" t="str">
        <f>IF(OR(OR(U25="Allies",U25="Axis"),AND(NOT(ISERROR(SEARCH("Primary",U25))),ISERROR(SEARCH(V25,U25)))),VLOOKUP(I25,'Player-Force'!$A$3:$K$28,4,0),IF(U25=V25,AC25,VLOOKUP(I25,'Player-Force'!$A$3:$K$28,8,0)))</f>
        <v>British: Bulge</v>
      </c>
      <c r="X25" t="str">
        <f>IF(OR(OR(V25="Allies",V25="Axis"),AND(NOT(ISERROR(SEARCH("Primary",V25))),ISERROR(SEARCH(U25,V25)))),VLOOKUP(P25,'Player-Force'!$A$3:$K$28,4,0),IF(V25=U25,AD25,VLOOKUP(P25,'Player-Force'!$A$3:$K$28,8,0)))</f>
        <v>German: Bulge</v>
      </c>
      <c r="Y25" t="str" cm="1">
        <f t="array" ref="Y25">IF(W25="NOT RECORDED","",IF(VLOOKUP(I25,'Player-Force'!$A$3:$K$28,MATCH(W25,_xlfn._xlws.FILTER('Player-Force'!$A$3:$K$28,'Player-Force'!$A$3:$A$28=I25),0)+2,0)=0,"",VLOOKUP(I25,'Player-Force'!$A$3:$K$28,MATCH(W25,_xlfn._xlws.FILTER('Player-Force'!$A$3:$K$28,'Player-Force'!$A$3:$A$28=I25),0)+2,0)))</f>
        <v>Ram Armoured Squadron</v>
      </c>
      <c r="Z25" t="str" cm="1">
        <f t="array" ref="Z25">IF(X25="NOT RECORDED","",IF(VLOOKUP(P25,'Player-Force'!$A$3:$K$28,MATCH(X25,_xlfn._xlws.FILTER('Player-Force'!$A$3:$K$28,'Player-Force'!$A$3:$A$28=P25),0)+2,0)=0,"",VLOOKUP(P25,'Player-Force'!$A$3:$K$28,MATCH(X25,_xlfn._xlws.FILTER('Player-Force'!$A$3:$K$28,'Player-Force'!$A$3:$A$28=P25),0)+2,0)))</f>
        <v>Volksgrenadier Company</v>
      </c>
      <c r="AA25" t="str" cm="1">
        <f t="array" ref="AA25">IF(W25="NOT RECORDED","",IF(VLOOKUP(I25,'Player-Force'!$A$3:$K$28,MATCH(W25,_xlfn._xlws.FILTER('Player-Force'!$A$3:$K$28,'Player-Force'!$A$3:$A$28=I25),0)+3,0)=0,"",VLOOKUP(I25,'Player-Force'!$A$3:$K$28,MATCH(W25,_xlfn._xlws.FILTER('Player-Force'!$A$3:$K$28,'Player-Force'!$A$3:$A$28=I25),0)+3,0)))</f>
        <v/>
      </c>
      <c r="AB25" t="str" cm="1">
        <f t="array" ref="AB25">IF(X25="NOT RECORDED","",IF(VLOOKUP(P25,'Player-Force'!$A$3:$K$28,MATCH(X25,_xlfn._xlws.FILTER('Player-Force'!$A$3:$K$28,'Player-Force'!$A$3:$A$28=P25),0)+3,0)=0,"",VLOOKUP(P25,'Player-Force'!$A$3:$K$28,MATCH(X25,_xlfn._xlws.FILTER('Player-Force'!$A$3:$K$28,'Player-Force'!$A$3:$A$28=P25),0)+3,0)))</f>
        <v/>
      </c>
      <c r="AE25" t="str">
        <f t="shared" si="0"/>
        <v>Tank</v>
      </c>
      <c r="AF25" t="str">
        <f t="shared" si="1"/>
        <v>Infantry</v>
      </c>
    </row>
    <row r="26" spans="1:32" x14ac:dyDescent="0.25">
      <c r="A26">
        <v>4</v>
      </c>
      <c r="B26">
        <v>4</v>
      </c>
      <c r="C26" t="str">
        <v>bypass</v>
      </c>
      <c r="D26" t="str">
        <v>a</v>
      </c>
      <c r="E26" t="str">
        <v>objective_taken</v>
      </c>
      <c r="F26" t="str">
        <v>a</v>
      </c>
      <c r="G26">
        <v>0</v>
      </c>
      <c r="H26" t="str">
        <v>m17e6mz911704amf7nvgscbtw97nd43j</v>
      </c>
      <c r="I26" t="str">
        <v>Krzysztof Kuczerawy</v>
      </c>
      <c r="J26" t="str">
        <v>maneuver</v>
      </c>
      <c r="K26">
        <v>2</v>
      </c>
      <c r="L26">
        <v>7</v>
      </c>
      <c r="M26" t="str">
        <v>attacker</v>
      </c>
      <c r="N26">
        <v>0</v>
      </c>
      <c r="O26" t="str">
        <v>m170dsrb9rxwb0p5r0shy7mdyd81v652</v>
      </c>
      <c r="P26" t="str">
        <v>Peter McCarroll</v>
      </c>
      <c r="Q26" t="str">
        <v>defend</v>
      </c>
      <c r="R26">
        <v>2</v>
      </c>
      <c r="S26">
        <v>2</v>
      </c>
      <c r="T26" t="str">
        <v>defender</v>
      </c>
      <c r="U26" t="str">
        <v>Allies</v>
      </c>
      <c r="V26" t="str">
        <v>Primary Allies</v>
      </c>
      <c r="W26" t="str">
        <f>IF(OR(OR(U26="Allies",U26="Axis"),AND(NOT(ISERROR(SEARCH("Primary",U26))),ISERROR(SEARCH(V26,U26)))),VLOOKUP(I26,'Player-Force'!$A$3:$K$28,4,0),IF(U26=V26,AC26,VLOOKUP(I26,'Player-Force'!$A$3:$K$28,8,0)))</f>
        <v>British: Bulge</v>
      </c>
      <c r="X26" t="str">
        <f>IF(OR(OR(V26="Allies",V26="Axis"),AND(NOT(ISERROR(SEARCH("Primary",V26))),ISERROR(SEARCH(U26,V26)))),VLOOKUP(P26,'Player-Force'!$A$3:$K$28,4,0),IF(V26=U26,AD26,VLOOKUP(P26,'Player-Force'!$A$3:$K$28,8,0)))</f>
        <v>German: Bulge</v>
      </c>
      <c r="Y26" t="str" cm="1">
        <f t="array" ref="Y26">IF(W26="NOT RECORDED","",IF(VLOOKUP(I26,'Player-Force'!$A$3:$K$28,MATCH(W26,_xlfn._xlws.FILTER('Player-Force'!$A$3:$K$28,'Player-Force'!$A$3:$A$28=I26),0)+2,0)=0,"",VLOOKUP(I26,'Player-Force'!$A$3:$K$28,MATCH(W26,_xlfn._xlws.FILTER('Player-Force'!$A$3:$K$28,'Player-Force'!$A$3:$A$28=I26),0)+2,0)))</f>
        <v>Kangaroo Rifle Company</v>
      </c>
      <c r="Z26" t="str" cm="1">
        <f t="array" ref="Z26">IF(X26="NOT RECORDED","",IF(VLOOKUP(P26,'Player-Force'!$A$3:$K$28,MATCH(X26,_xlfn._xlws.FILTER('Player-Force'!$A$3:$K$28,'Player-Force'!$A$3:$A$28=P26),0)+2,0)=0,"",VLOOKUP(P26,'Player-Force'!$A$3:$K$28,MATCH(X26,_xlfn._xlws.FILTER('Player-Force'!$A$3:$K$28,'Player-Force'!$A$3:$A$28=P26),0)+2,0)))</f>
        <v>Veteran M4 Sherman (Late) Tank Company</v>
      </c>
      <c r="AA26" t="str" cm="1">
        <f t="array" ref="AA26">IF(W26="NOT RECORDED","",IF(VLOOKUP(I26,'Player-Force'!$A$3:$K$28,MATCH(W26,_xlfn._xlws.FILTER('Player-Force'!$A$3:$K$28,'Player-Force'!$A$3:$A$28=I26),0)+3,0)=0,"",VLOOKUP(I26,'Player-Force'!$A$3:$K$28,MATCH(W26,_xlfn._xlws.FILTER('Player-Force'!$A$3:$K$28,'Player-Force'!$A$3:$A$28=I26),0)+3,0)))</f>
        <v/>
      </c>
      <c r="AB26" t="str" cm="1">
        <f t="array" ref="AB26">IF(X26="NOT RECORDED","",IF(VLOOKUP(P26,'Player-Force'!$A$3:$K$28,MATCH(X26,_xlfn._xlws.FILTER('Player-Force'!$A$3:$K$28,'Player-Force'!$A$3:$A$28=P26),0)+3,0)=0,"",VLOOKUP(P26,'Player-Force'!$A$3:$K$28,MATCH(X26,_xlfn._xlws.FILTER('Player-Force'!$A$3:$K$28,'Player-Force'!$A$3:$A$28=P26),0)+3,0)))</f>
        <v/>
      </c>
      <c r="AE26" t="str">
        <f t="shared" si="0"/>
        <v>Mechanised Infantry</v>
      </c>
      <c r="AF26" t="str">
        <f t="shared" si="1"/>
        <v>Infantry</v>
      </c>
    </row>
    <row r="27" spans="1:32" x14ac:dyDescent="0.25">
      <c r="A27">
        <v>4</v>
      </c>
      <c r="B27">
        <v>6</v>
      </c>
      <c r="C27" t="str">
        <v>bypass</v>
      </c>
      <c r="D27" t="str">
        <v>b</v>
      </c>
      <c r="E27" t="str">
        <v>objective_taken</v>
      </c>
      <c r="F27" t="str">
        <v>b</v>
      </c>
      <c r="G27">
        <v>0</v>
      </c>
      <c r="H27" t="str">
        <v>m176j9ge6ss0s6pqjxrr1cpnjh86c2c8</v>
      </c>
      <c r="I27" t="str">
        <v>Jordan Williamson</v>
      </c>
      <c r="J27" t="str">
        <v>maneuver</v>
      </c>
      <c r="K27">
        <v>2</v>
      </c>
      <c r="L27">
        <v>1</v>
      </c>
      <c r="M27" t="str">
        <v>defender</v>
      </c>
      <c r="N27">
        <v>0</v>
      </c>
      <c r="O27" t="str">
        <v>m172prnn7ee4eavt3sasg4xf397nazj5</v>
      </c>
      <c r="P27" t="str">
        <v>Rex King</v>
      </c>
      <c r="Q27" t="str">
        <v>attack</v>
      </c>
      <c r="R27">
        <v>0</v>
      </c>
      <c r="S27">
        <v>8</v>
      </c>
      <c r="T27" t="str">
        <v>attacker</v>
      </c>
      <c r="U27" t="str">
        <v>Allies</v>
      </c>
      <c r="V27" t="str">
        <v>Primary Axis</v>
      </c>
      <c r="W27" t="str">
        <f>IF(OR(OR(U27="Allies",U27="Axis"),AND(NOT(ISERROR(SEARCH("Primary",U27))),ISERROR(SEARCH(V27,U27)))),VLOOKUP(I27,'Player-Force'!$A$3:$K$28,4,0),IF(U27=V27,AC27,VLOOKUP(I27,'Player-Force'!$A$3:$K$28,8,0)))</f>
        <v>Soviet: Berlin</v>
      </c>
      <c r="X27" t="str">
        <f>IF(OR(OR(V27="Allies",V27="Axis"),AND(NOT(ISERROR(SEARCH("Primary",V27))),ISERROR(SEARCH(U27,V27)))),VLOOKUP(P27,'Player-Force'!$A$3:$K$28,4,0),IF(V27=U27,AD27,VLOOKUP(P27,'Player-Force'!$A$3:$K$28,8,0)))</f>
        <v>German: Berlin</v>
      </c>
      <c r="Y27" t="str" cm="1">
        <f t="array" ref="Y27">IF(W27="NOT RECORDED","",IF(VLOOKUP(I27,'Player-Force'!$A$3:$K$28,MATCH(W27,_xlfn._xlws.FILTER('Player-Force'!$A$3:$K$28,'Player-Force'!$A$3:$A$28=I27),0)+2,0)=0,"",VLOOKUP(I27,'Player-Force'!$A$3:$K$28,MATCH(W27,_xlfn._xlws.FILTER('Player-Force'!$A$3:$K$28,'Player-Force'!$A$3:$A$28=I27),0)+2,0)))</f>
        <v>Hero IS-2 (Late) Guards Heavy Tank Regiment</v>
      </c>
      <c r="Z27" t="str" cm="1">
        <f t="array" ref="Z27">IF(X27="NOT RECORDED","",IF(VLOOKUP(P27,'Player-Force'!$A$3:$K$28,MATCH(X27,_xlfn._xlws.FILTER('Player-Force'!$A$3:$K$28,'Player-Force'!$A$3:$A$28=P27),0)+2,0)=0,"",VLOOKUP(P27,'Player-Force'!$A$3:$K$28,MATCH(X27,_xlfn._xlws.FILTER('Player-Force'!$A$3:$K$28,'Player-Force'!$A$3:$A$28=P27),0)+2,0)))</f>
        <v>Berlin Battle Group</v>
      </c>
      <c r="AA27" t="str" cm="1">
        <f t="array" ref="AA27">IF(W27="NOT RECORDED","",IF(VLOOKUP(I27,'Player-Force'!$A$3:$K$28,MATCH(W27,_xlfn._xlws.FILTER('Player-Force'!$A$3:$K$28,'Player-Force'!$A$3:$A$28=I27),0)+3,0)=0,"",VLOOKUP(I27,'Player-Force'!$A$3:$K$28,MATCH(W27,_xlfn._xlws.FILTER('Player-Force'!$A$3:$K$28,'Player-Force'!$A$3:$A$28=I27),0)+3,0)))</f>
        <v/>
      </c>
      <c r="AB27" t="str" cm="1">
        <f t="array" ref="AB27">IF(X27="NOT RECORDED","",IF(VLOOKUP(P27,'Player-Force'!$A$3:$K$28,MATCH(X27,_xlfn._xlws.FILTER('Player-Force'!$A$3:$K$28,'Player-Force'!$A$3:$A$28=P27),0)+3,0)=0,"",VLOOKUP(P27,'Player-Force'!$A$3:$K$28,MATCH(X27,_xlfn._xlws.FILTER('Player-Force'!$A$3:$K$28,'Player-Force'!$A$3:$A$28=P27),0)+3,0)))</f>
        <v/>
      </c>
      <c r="AE27" t="str">
        <f t="shared" si="0"/>
        <v>Tank</v>
      </c>
      <c r="AF27" t="str">
        <f t="shared" si="1"/>
        <v>Infantry</v>
      </c>
    </row>
    <row r="28" spans="1:32" x14ac:dyDescent="0.25">
      <c r="A28">
        <v>3</v>
      </c>
      <c r="B28">
        <v>6</v>
      </c>
      <c r="C28" t="str">
        <v>no_retreat</v>
      </c>
      <c r="D28" t="str">
        <v>a</v>
      </c>
      <c r="E28" t="str">
        <v>attack_repelled</v>
      </c>
      <c r="F28" t="str">
        <v>b</v>
      </c>
      <c r="G28">
        <v>0</v>
      </c>
      <c r="H28" t="str">
        <v>m17313rf66ezwenk8k3rjjzkgs86n1ws</v>
      </c>
      <c r="I28" t="str">
        <v>Mark Taylor</v>
      </c>
      <c r="J28" t="str">
        <v>attack</v>
      </c>
      <c r="K28">
        <v>3</v>
      </c>
      <c r="L28">
        <v>3</v>
      </c>
      <c r="M28" t="str">
        <v>attacker</v>
      </c>
      <c r="N28">
        <v>0</v>
      </c>
      <c r="O28" t="str">
        <v>m172prnn7ee4eavt3sasg4xf397nazj5</v>
      </c>
      <c r="P28" t="str">
        <v>Rex King</v>
      </c>
      <c r="Q28" t="str">
        <v>defend</v>
      </c>
      <c r="R28">
        <v>3</v>
      </c>
      <c r="S28">
        <v>6</v>
      </c>
      <c r="T28" t="str">
        <v>defender</v>
      </c>
      <c r="U28" t="str">
        <v>Axis</v>
      </c>
      <c r="V28" t="str">
        <v>Primary Axis</v>
      </c>
      <c r="W28" t="str">
        <f>IF(OR(OR(U28="Allies",U28="Axis"),AND(NOT(ISERROR(SEARCH("Primary",U28))),ISERROR(SEARCH(V28,U28)))),VLOOKUP(I28,'Player-Force'!$A$3:$K$28,4,0),IF(U28=V28,AC28,VLOOKUP(I28,'Player-Force'!$A$3:$K$28,8,0)))</f>
        <v>German: Berlin</v>
      </c>
      <c r="X28" t="str">
        <f>IF(OR(OR(V28="Allies",V28="Axis"),AND(NOT(ISERROR(SEARCH("Primary",V28))),ISERROR(SEARCH(U28,V28)))),VLOOKUP(P28,'Player-Force'!$A$3:$K$28,4,0),IF(V28=U28,AD28,VLOOKUP(P28,'Player-Force'!$A$3:$K$28,8,0)))</f>
        <v>British: D-Day</v>
      </c>
      <c r="Y28" t="str" cm="1">
        <f t="array" ref="Y28">IF(W28="NOT RECORDED","",IF(VLOOKUP(I28,'Player-Force'!$A$3:$K$28,MATCH(W28,_xlfn._xlws.FILTER('Player-Force'!$A$3:$K$28,'Player-Force'!$A$3:$A$28=I28),0)+2,0)=0,"",VLOOKUP(I28,'Player-Force'!$A$3:$K$28,MATCH(W28,_xlfn._xlws.FILTER('Player-Force'!$A$3:$K$28,'Player-Force'!$A$3:$A$28=I28),0)+2,0)))</f>
        <v>Panzer Battle Group</v>
      </c>
      <c r="Z28" t="str" cm="1">
        <f t="array" ref="Z28">IF(X28="NOT RECORDED","",IF(VLOOKUP(P28,'Player-Force'!$A$3:$K$28,MATCH(X28,_xlfn._xlws.FILTER('Player-Force'!$A$3:$K$28,'Player-Force'!$A$3:$A$28=P28),0)+2,0)=0,"",VLOOKUP(P28,'Player-Force'!$A$3:$K$28,MATCH(X28,_xlfn._xlws.FILTER('Player-Force'!$A$3:$K$28,'Player-Force'!$A$3:$A$28=P28),0)+2,0)))</f>
        <v>Rifle Company</v>
      </c>
      <c r="AA28" t="str" cm="1">
        <f t="array" ref="AA28">IF(W28="NOT RECORDED","",IF(VLOOKUP(I28,'Player-Force'!$A$3:$K$28,MATCH(W28,_xlfn._xlws.FILTER('Player-Force'!$A$3:$K$28,'Player-Force'!$A$3:$A$28=I28),0)+3,0)=0,"",VLOOKUP(I28,'Player-Force'!$A$3:$K$28,MATCH(W28,_xlfn._xlws.FILTER('Player-Force'!$A$3:$K$28,'Player-Force'!$A$3:$A$28=I28),0)+3,0)))</f>
        <v>Berlin Battle Group</v>
      </c>
      <c r="AB28" t="str" cm="1">
        <f t="array" ref="AB28">IF(X28="NOT RECORDED","",IF(VLOOKUP(P28,'Player-Force'!$A$3:$K$28,MATCH(X28,_xlfn._xlws.FILTER('Player-Force'!$A$3:$K$28,'Player-Force'!$A$3:$A$28=P28),0)+3,0)=0,"",VLOOKUP(P28,'Player-Force'!$A$3:$K$28,MATCH(X28,_xlfn._xlws.FILTER('Player-Force'!$A$3:$K$28,'Player-Force'!$A$3:$A$28=P28),0)+3,0)))</f>
        <v/>
      </c>
      <c r="AE28" t="str">
        <f t="shared" si="0"/>
        <v>Combined Tank/Infantry</v>
      </c>
      <c r="AF28" t="str">
        <f t="shared" si="1"/>
        <v>Infantry</v>
      </c>
    </row>
    <row r="29" spans="1:32" x14ac:dyDescent="0.25">
      <c r="A29">
        <v>3</v>
      </c>
      <c r="B29">
        <v>6</v>
      </c>
      <c r="C29" t="str">
        <v>no_retreat</v>
      </c>
      <c r="D29" t="str">
        <v>b</v>
      </c>
      <c r="E29" t="str">
        <v>attack_repelled</v>
      </c>
      <c r="F29" t="str">
        <v>a</v>
      </c>
      <c r="G29">
        <v>0</v>
      </c>
      <c r="H29" t="str">
        <v>m17dvz8k468ssw64qe57e65y9186rwt8</v>
      </c>
      <c r="I29" t="str">
        <v>Keith Martin-Smith</v>
      </c>
      <c r="J29" t="str">
        <v>defend</v>
      </c>
      <c r="K29">
        <v>2</v>
      </c>
      <c r="L29">
        <v>7</v>
      </c>
      <c r="M29" t="str">
        <v>defender</v>
      </c>
      <c r="N29">
        <v>0</v>
      </c>
      <c r="O29" t="str">
        <v>m176m7qa02ds8hsgzgbm4e4ssn7rhm68</v>
      </c>
      <c r="P29" t="str">
        <v>Kenneth Alexander</v>
      </c>
      <c r="Q29" t="str">
        <v>attack</v>
      </c>
      <c r="R29">
        <v>1</v>
      </c>
      <c r="S29">
        <v>2</v>
      </c>
      <c r="T29" t="str">
        <v>attacker</v>
      </c>
      <c r="U29" t="str">
        <v>Allies</v>
      </c>
      <c r="V29" t="str">
        <v>Axis</v>
      </c>
      <c r="W29" t="str">
        <f>IF(OR(OR(U29="Allies",U29="Axis"),AND(NOT(ISERROR(SEARCH("Primary",U29))),ISERROR(SEARCH(V29,U29)))),VLOOKUP(I29,'Player-Force'!$A$3:$K$28,4,0),IF(U29=V29,AC29,VLOOKUP(I29,'Player-Force'!$A$3:$K$28,8,0)))</f>
        <v>Soviet: Bagration</v>
      </c>
      <c r="X29" t="str">
        <f>IF(OR(OR(V29="Allies",V29="Axis"),AND(NOT(ISERROR(SEARCH("Primary",V29))),ISERROR(SEARCH(U29,V29)))),VLOOKUP(P29,'Player-Force'!$A$3:$K$28,4,0),IF(V29=U29,AD29,VLOOKUP(P29,'Player-Force'!$A$3:$K$28,8,0)))</f>
        <v>German: Bagration</v>
      </c>
      <c r="Y29" t="str" cm="1">
        <f t="array" ref="Y29">IF(W29="NOT RECORDED","",IF(VLOOKUP(I29,'Player-Force'!$A$3:$K$28,MATCH(W29,_xlfn._xlws.FILTER('Player-Force'!$A$3:$K$28,'Player-Force'!$A$3:$A$28=I29),0)+2,0)=0,"",VLOOKUP(I29,'Player-Force'!$A$3:$K$28,MATCH(W29,_xlfn._xlws.FILTER('Player-Force'!$A$3:$K$28,'Player-Force'!$A$3:$A$28=I29),0)+2,0)))</f>
        <v>Medium SP Artillery Regiment</v>
      </c>
      <c r="Z29" t="str" cm="1">
        <f t="array" ref="Z29">IF(X29="NOT RECORDED","",IF(VLOOKUP(P29,'Player-Force'!$A$3:$K$28,MATCH(X29,_xlfn._xlws.FILTER('Player-Force'!$A$3:$K$28,'Player-Force'!$A$3:$A$28=P29),0)+2,0)=0,"",VLOOKUP(P29,'Player-Force'!$A$3:$K$28,MATCH(X29,_xlfn._xlws.FILTER('Player-Force'!$A$3:$K$28,'Player-Force'!$A$3:$A$28=P29),0)+2,0)))</f>
        <v>Panther Tank Company</v>
      </c>
      <c r="AA29" t="str" cm="1">
        <f t="array" ref="AA29">IF(W29="NOT RECORDED","",IF(VLOOKUP(I29,'Player-Force'!$A$3:$K$28,MATCH(W29,_xlfn._xlws.FILTER('Player-Force'!$A$3:$K$28,'Player-Force'!$A$3:$A$28=I29),0)+3,0)=0,"",VLOOKUP(I29,'Player-Force'!$A$3:$K$28,MATCH(W29,_xlfn._xlws.FILTER('Player-Force'!$A$3:$K$28,'Player-Force'!$A$3:$A$28=I29),0)+3,0)))</f>
        <v>Hero Motor Rifle Battalion</v>
      </c>
      <c r="AB29" t="str" cm="1">
        <f t="array" ref="AB29">IF(X29="NOT RECORDED","",IF(VLOOKUP(P29,'Player-Force'!$A$3:$K$28,MATCH(X29,_xlfn._xlws.FILTER('Player-Force'!$A$3:$K$28,'Player-Force'!$A$3:$A$28=P29),0)+3,0)=0,"",VLOOKUP(P29,'Player-Force'!$A$3:$K$28,MATCH(X29,_xlfn._xlws.FILTER('Player-Force'!$A$3:$K$28,'Player-Force'!$A$3:$A$28=P29),0)+3,0)))</f>
        <v/>
      </c>
      <c r="AE29" t="str">
        <f t="shared" si="0"/>
        <v>Combined Tank/Infantry</v>
      </c>
      <c r="AF29" t="str">
        <f t="shared" si="1"/>
        <v>Tank</v>
      </c>
    </row>
    <row r="30" spans="1:32" x14ac:dyDescent="0.25">
      <c r="A30">
        <v>3</v>
      </c>
      <c r="B30">
        <v>5</v>
      </c>
      <c r="C30" t="str">
        <v>free_for_all</v>
      </c>
      <c r="D30" t="str">
        <v>a</v>
      </c>
      <c r="E30" t="str">
        <v>time_out</v>
      </c>
      <c r="F30" t="str">
        <v>none</v>
      </c>
      <c r="G30">
        <v>0</v>
      </c>
      <c r="H30" t="str">
        <v>m173e4ca5ymc0zvp6nnnfz8kqh85hdrg</v>
      </c>
      <c r="I30" t="str">
        <v>Raymond Young</v>
      </c>
      <c r="J30" t="str">
        <v>defend</v>
      </c>
      <c r="K30">
        <v>3</v>
      </c>
      <c r="L30">
        <v>1</v>
      </c>
      <c r="M30" t="str">
        <v>attacker</v>
      </c>
      <c r="N30">
        <v>0</v>
      </c>
      <c r="O30" t="str">
        <v>m17dd8ekynshgzsaqzrqa04dh585wjhe</v>
      </c>
      <c r="P30" t="str">
        <v xml:space="preserve">Jakub WÅ‚osowicz </v>
      </c>
      <c r="Q30" t="str">
        <v>defend</v>
      </c>
      <c r="R30">
        <v>1</v>
      </c>
      <c r="S30">
        <v>3</v>
      </c>
      <c r="T30" t="str">
        <v>defender</v>
      </c>
      <c r="U30" t="str">
        <v>Axis</v>
      </c>
      <c r="V30" t="str">
        <v>Allies</v>
      </c>
      <c r="W30" t="str">
        <f>IF(OR(OR(U30="Allies",U30="Axis"),AND(NOT(ISERROR(SEARCH("Primary",U30))),ISERROR(SEARCH(V30,U30)))),VLOOKUP(I30,'Player-Force'!$A$3:$K$28,4,0),IF(U30=V30,AC30,VLOOKUP(I30,'Player-Force'!$A$3:$K$28,8,0)))</f>
        <v>German: D-Day</v>
      </c>
      <c r="X30" t="str">
        <f>IF(OR(OR(V30="Allies",V30="Axis"),AND(NOT(ISERROR(SEARCH("Primary",V30))),ISERROR(SEARCH(U30,V30)))),VLOOKUP(P30,'Player-Force'!$A$3:$K$28,4,0),IF(V30=U30,AD30,VLOOKUP(P30,'Player-Force'!$A$3:$K$28,8,0)))</f>
        <v>Soviet: Bagration</v>
      </c>
      <c r="Y30" t="str" cm="1">
        <f t="array" ref="Y30">IF(W30="NOT RECORDED","",IF(VLOOKUP(I30,'Player-Force'!$A$3:$K$28,MATCH(W30,_xlfn._xlws.FILTER('Player-Force'!$A$3:$K$28,'Player-Force'!$A$3:$A$28=I30),0)+2,0)=0,"",VLOOKUP(I30,'Player-Force'!$A$3:$K$28,MATCH(W30,_xlfn._xlws.FILTER('Player-Force'!$A$3:$K$28,'Player-Force'!$A$3:$A$28=I30),0)+2,0)))</f>
        <v>Beach Defence Grenadier Company</v>
      </c>
      <c r="Z30" t="str" cm="1">
        <f t="array" ref="Z30">IF(X30="NOT RECORDED","",IF(VLOOKUP(P30,'Player-Force'!$A$3:$K$28,MATCH(X30,_xlfn._xlws.FILTER('Player-Force'!$A$3:$K$28,'Player-Force'!$A$3:$A$28=P30),0)+2,0)=0,"",VLOOKUP(P30,'Player-Force'!$A$3:$K$28,MATCH(X30,_xlfn._xlws.FILTER('Player-Force'!$A$3:$K$28,'Player-Force'!$A$3:$A$28=P30),0)+2,0)))</f>
        <v>Hero Motor Rifle Battalion</v>
      </c>
      <c r="AA30" t="str" cm="1">
        <f t="array" ref="AA30">IF(W30="NOT RECORDED","",IF(VLOOKUP(I30,'Player-Force'!$A$3:$K$28,MATCH(W30,_xlfn._xlws.FILTER('Player-Force'!$A$3:$K$28,'Player-Force'!$A$3:$A$28=I30),0)+3,0)=0,"",VLOOKUP(I30,'Player-Force'!$A$3:$K$28,MATCH(W30,_xlfn._xlws.FILTER('Player-Force'!$A$3:$K$28,'Player-Force'!$A$3:$A$28=I30),0)+3,0)))</f>
        <v/>
      </c>
      <c r="AB30" t="str" cm="1">
        <f t="array" ref="AB30">IF(X30="NOT RECORDED","",IF(VLOOKUP(P30,'Player-Force'!$A$3:$K$28,MATCH(X30,_xlfn._xlws.FILTER('Player-Force'!$A$3:$K$28,'Player-Force'!$A$3:$A$28=P30),0)+3,0)=0,"",VLOOKUP(P30,'Player-Force'!$A$3:$K$28,MATCH(X30,_xlfn._xlws.FILTER('Player-Force'!$A$3:$K$28,'Player-Force'!$A$3:$A$28=P30),0)+3,0)))</f>
        <v/>
      </c>
      <c r="AE30" t="str">
        <f t="shared" si="0"/>
        <v>Infantry</v>
      </c>
      <c r="AF30" t="str">
        <f t="shared" si="1"/>
        <v>Infantry</v>
      </c>
    </row>
    <row r="31" spans="1:32" x14ac:dyDescent="0.25">
      <c r="A31">
        <v>3</v>
      </c>
      <c r="B31">
        <v>6</v>
      </c>
      <c r="C31" t="str">
        <v>valley_of_death</v>
      </c>
      <c r="D31" t="str">
        <v>b</v>
      </c>
      <c r="E31" t="str">
        <v>attack_repelled</v>
      </c>
      <c r="F31" t="str">
        <v>a</v>
      </c>
      <c r="G31">
        <v>0</v>
      </c>
      <c r="H31" t="str">
        <v>m17d2hv9vk3g5e8etkqkbqbcmn85pv05</v>
      </c>
      <c r="I31" t="str">
        <v>Alasdair Galloway</v>
      </c>
      <c r="J31" t="str">
        <v>maneuver</v>
      </c>
      <c r="K31">
        <v>0</v>
      </c>
      <c r="L31">
        <v>8</v>
      </c>
      <c r="M31" t="str">
        <v>defender</v>
      </c>
      <c r="N31">
        <v>0</v>
      </c>
      <c r="O31" t="str">
        <v>m174njm2q4jceqsc68swfjfyq57nw34f</v>
      </c>
      <c r="P31" t="str">
        <v>Anthony Himycz</v>
      </c>
      <c r="Q31" t="str">
        <v>attack</v>
      </c>
      <c r="R31">
        <v>2</v>
      </c>
      <c r="S31">
        <v>1</v>
      </c>
      <c r="T31" t="str">
        <v>attacker</v>
      </c>
      <c r="U31" t="str">
        <v>Primary Axis</v>
      </c>
      <c r="V31" t="str">
        <v>Allies</v>
      </c>
      <c r="W31" t="str">
        <f>IF(OR(OR(U31="Allies",U31="Axis"),AND(NOT(ISERROR(SEARCH("Primary",U31))),ISERROR(SEARCH(V31,U31)))),VLOOKUP(I31,'Player-Force'!$A$3:$K$28,4,0),IF(U31=V31,AC31,VLOOKUP(I31,'Player-Force'!$A$3:$K$28,8,0)))</f>
        <v>German: Waffen-SS</v>
      </c>
      <c r="X31" t="str">
        <f>IF(OR(OR(V31="Allies",V31="Axis"),AND(NOT(ISERROR(SEARCH("Primary",V31))),ISERROR(SEARCH(U31,V31)))),VLOOKUP(P31,'Player-Force'!$A$3:$K$28,4,0),IF(V31=U31,AD31,VLOOKUP(P31,'Player-Force'!$A$3:$K$28,8,0)))</f>
        <v>British: Bulge</v>
      </c>
      <c r="Y31" t="str" cm="1">
        <f t="array" ref="Y31">IF(W31="NOT RECORDED","",IF(VLOOKUP(I31,'Player-Force'!$A$3:$K$28,MATCH(W31,_xlfn._xlws.FILTER('Player-Force'!$A$3:$K$28,'Player-Force'!$A$3:$A$28=I31),0)+2,0)=0,"",VLOOKUP(I31,'Player-Force'!$A$3:$K$28,MATCH(W31,_xlfn._xlws.FILTER('Player-Force'!$A$3:$K$28,'Player-Force'!$A$3:$A$28=I31),0)+2,0)))</f>
        <v xml:space="preserve">Panzer IV SS Tank Company </v>
      </c>
      <c r="Z31" t="str" cm="1">
        <f t="array" ref="Z31">IF(X31="NOT RECORDED","",IF(VLOOKUP(P31,'Player-Force'!$A$3:$K$28,MATCH(X31,_xlfn._xlws.FILTER('Player-Force'!$A$3:$K$28,'Player-Force'!$A$3:$A$28=P31),0)+2,0)=0,"",VLOOKUP(P31,'Player-Force'!$A$3:$K$28,MATCH(X31,_xlfn._xlws.FILTER('Player-Force'!$A$3:$K$28,'Player-Force'!$A$3:$A$28=P31),0)+2,0)))</f>
        <v>Ram Armoured Squadron</v>
      </c>
      <c r="AA31" t="str" cm="1">
        <f t="array" ref="AA31">IF(W31="NOT RECORDED","",IF(VLOOKUP(I31,'Player-Force'!$A$3:$K$28,MATCH(W31,_xlfn._xlws.FILTER('Player-Force'!$A$3:$K$28,'Player-Force'!$A$3:$A$28=I31),0)+3,0)=0,"",VLOOKUP(I31,'Player-Force'!$A$3:$K$28,MATCH(W31,_xlfn._xlws.FILTER('Player-Force'!$A$3:$K$28,'Player-Force'!$A$3:$A$28=I31),0)+3,0)))</f>
        <v>Armoured SS Panzergrenadier Company</v>
      </c>
      <c r="AB31" t="str" cm="1">
        <f t="array" ref="AB31">IF(X31="NOT RECORDED","",IF(VLOOKUP(P31,'Player-Force'!$A$3:$K$28,MATCH(X31,_xlfn._xlws.FILTER('Player-Force'!$A$3:$K$28,'Player-Force'!$A$3:$A$28=P31),0)+3,0)=0,"",VLOOKUP(P31,'Player-Force'!$A$3:$K$28,MATCH(X31,_xlfn._xlws.FILTER('Player-Force'!$A$3:$K$28,'Player-Force'!$A$3:$A$28=P31),0)+3,0)))</f>
        <v/>
      </c>
      <c r="AE31" t="str">
        <f t="shared" si="0"/>
        <v>Combined Tank/Mechanised Infantry</v>
      </c>
      <c r="AF31" t="str">
        <f t="shared" si="1"/>
        <v>Tank</v>
      </c>
    </row>
    <row r="32" spans="1:32" x14ac:dyDescent="0.25">
      <c r="A32">
        <v>3</v>
      </c>
      <c r="B32">
        <v>6</v>
      </c>
      <c r="C32" t="str">
        <v>valley_of_death</v>
      </c>
      <c r="D32" t="str">
        <v>b</v>
      </c>
      <c r="E32" t="str">
        <v>attack_repelled</v>
      </c>
      <c r="F32" t="str">
        <v>a</v>
      </c>
      <c r="G32">
        <v>0</v>
      </c>
      <c r="H32" t="str">
        <v>m170dsrb9rxwb0p5r0shy7mdyd81v652</v>
      </c>
      <c r="I32" t="str">
        <v>Peter McCarroll</v>
      </c>
      <c r="J32" t="str">
        <v>defend</v>
      </c>
      <c r="K32">
        <v>2</v>
      </c>
      <c r="L32">
        <v>7</v>
      </c>
      <c r="M32" t="str">
        <v>defender</v>
      </c>
      <c r="N32">
        <v>0</v>
      </c>
      <c r="O32" t="str">
        <v>m176rx4162gqb0r56mkm423ckh7mms1f</v>
      </c>
      <c r="P32" t="str">
        <v>Andy Somerville</v>
      </c>
      <c r="Q32" t="str">
        <v>maneuver</v>
      </c>
      <c r="R32">
        <v>1</v>
      </c>
      <c r="S32">
        <v>2</v>
      </c>
      <c r="T32" t="str">
        <v>attacker</v>
      </c>
      <c r="U32" t="str">
        <v>Primary Allies</v>
      </c>
      <c r="V32" t="str">
        <v>Primary Allies</v>
      </c>
      <c r="W32" t="str">
        <f>IF(OR(OR(U32="Allies",U32="Axis"),AND(NOT(ISERROR(SEARCH("Primary",U32))),ISERROR(SEARCH(V32,U32)))),VLOOKUP(I32,'Player-Force'!$A$3:$K$28,4,0),IF(U32=V32,AC32,VLOOKUP(I32,'Player-Force'!$A$3:$K$28,8,0)))</f>
        <v>German: Bulge</v>
      </c>
      <c r="X32" t="str">
        <f>IF(OR(OR(V32="Allies",V32="Axis"),AND(NOT(ISERROR(SEARCH("Primary",V32))),ISERROR(SEARCH(U32,V32)))),VLOOKUP(P32,'Player-Force'!$A$3:$K$28,4,0),IF(V32=U32,AD32,VLOOKUP(P32,'Player-Force'!$A$3:$K$28,8,0)))</f>
        <v>Soviet: Bagration</v>
      </c>
      <c r="Y32" t="str" cm="1">
        <f t="array" ref="Y32">IF(W32="NOT RECORDED","",IF(VLOOKUP(I32,'Player-Force'!$A$3:$K$28,MATCH(W32,_xlfn._xlws.FILTER('Player-Force'!$A$3:$K$28,'Player-Force'!$A$3:$A$28=I32),0)+2,0)=0,"",VLOOKUP(I32,'Player-Force'!$A$3:$K$28,MATCH(W32,_xlfn._xlws.FILTER('Player-Force'!$A$3:$K$28,'Player-Force'!$A$3:$A$28=I32),0)+2,0)))</f>
        <v>Veteran M4 Sherman (Late) Tank Company</v>
      </c>
      <c r="Z32" t="str" cm="1">
        <f t="array" ref="Z32">IF(X32="NOT RECORDED","",IF(VLOOKUP(P32,'Player-Force'!$A$3:$K$28,MATCH(X32,_xlfn._xlws.FILTER('Player-Force'!$A$3:$K$28,'Player-Force'!$A$3:$A$28=P32),0)+2,0)=0,"",VLOOKUP(P32,'Player-Force'!$A$3:$K$28,MATCH(X32,_xlfn._xlws.FILTER('Player-Force'!$A$3:$K$28,'Player-Force'!$A$3:$A$28=P32),0)+2,0)))</f>
        <v>IS-85 Guards Heavy Tank Regiment</v>
      </c>
      <c r="AA32" t="str" cm="1">
        <f t="array" ref="AA32">IF(W32="NOT RECORDED","",IF(VLOOKUP(I32,'Player-Force'!$A$3:$K$28,MATCH(W32,_xlfn._xlws.FILTER('Player-Force'!$A$3:$K$28,'Player-Force'!$A$3:$A$28=I32),0)+3,0)=0,"",VLOOKUP(I32,'Player-Force'!$A$3:$K$28,MATCH(W32,_xlfn._xlws.FILTER('Player-Force'!$A$3:$K$28,'Player-Force'!$A$3:$A$28=I32),0)+3,0)))</f>
        <v/>
      </c>
      <c r="AB32" t="str" cm="1">
        <f t="array" ref="AB32">IF(X32="NOT RECORDED","",IF(VLOOKUP(P32,'Player-Force'!$A$3:$K$28,MATCH(X32,_xlfn._xlws.FILTER('Player-Force'!$A$3:$K$28,'Player-Force'!$A$3:$A$28=P32),0)+3,0)=0,"",VLOOKUP(P32,'Player-Force'!$A$3:$K$28,MATCH(X32,_xlfn._xlws.FILTER('Player-Force'!$A$3:$K$28,'Player-Force'!$A$3:$A$28=P32),0)+3,0)))</f>
        <v>Hero Motor Rifle Battalion</v>
      </c>
      <c r="AC32" t="s">
        <v>117</v>
      </c>
      <c r="AD32" t="s">
        <v>113</v>
      </c>
      <c r="AE32" t="str">
        <f t="shared" si="0"/>
        <v>Infantry</v>
      </c>
      <c r="AF32" t="str">
        <f t="shared" si="1"/>
        <v>Combined Tank/Infantry</v>
      </c>
    </row>
    <row r="33" spans="1:32" x14ac:dyDescent="0.25">
      <c r="A33">
        <v>3</v>
      </c>
      <c r="B33">
        <v>6</v>
      </c>
      <c r="C33" t="str">
        <v>no_retreat</v>
      </c>
      <c r="D33" t="str">
        <v>a</v>
      </c>
      <c r="E33" t="str">
        <v>attack_repelled</v>
      </c>
      <c r="F33" t="str">
        <v>b</v>
      </c>
      <c r="G33">
        <v>0</v>
      </c>
      <c r="H33" t="str">
        <v>m17e6mz911704amf7nvgscbtw97nd43j</v>
      </c>
      <c r="I33" t="str">
        <v>Krzysztof Kuczerawy</v>
      </c>
      <c r="J33" t="str">
        <v>attack</v>
      </c>
      <c r="K33">
        <v>5</v>
      </c>
      <c r="L33">
        <v>1</v>
      </c>
      <c r="M33" t="str">
        <v>attacker</v>
      </c>
      <c r="N33">
        <v>0</v>
      </c>
      <c r="O33" t="str">
        <v>m1727vbteqpkwbc781rz8rw0397kqy2a</v>
      </c>
      <c r="P33" t="str">
        <v>Jacopo Sem</v>
      </c>
      <c r="Q33" t="str">
        <v>defend</v>
      </c>
      <c r="R33">
        <v>1</v>
      </c>
      <c r="S33">
        <v>8</v>
      </c>
      <c r="T33" t="str">
        <v>defender</v>
      </c>
      <c r="U33" t="str">
        <v>Allies</v>
      </c>
      <c r="V33" t="str">
        <v>Axis</v>
      </c>
      <c r="W33" t="str">
        <f>IF(OR(OR(U33="Allies",U33="Axis"),AND(NOT(ISERROR(SEARCH("Primary",U33))),ISERROR(SEARCH(V33,U33)))),VLOOKUP(I33,'Player-Force'!$A$3:$K$28,4,0),IF(U33=V33,AC33,VLOOKUP(I33,'Player-Force'!$A$3:$K$28,8,0)))</f>
        <v>British: Bulge</v>
      </c>
      <c r="X33" t="str">
        <f>IF(OR(OR(V33="Allies",V33="Axis"),AND(NOT(ISERROR(SEARCH("Primary",V33))),ISERROR(SEARCH(U33,V33)))),VLOOKUP(P33,'Player-Force'!$A$3:$K$28,4,0),IF(V33=U33,AD33,VLOOKUP(P33,'Player-Force'!$A$3:$K$28,8,0)))</f>
        <v>German: Berlin</v>
      </c>
      <c r="Y33" t="str" cm="1">
        <f t="array" ref="Y33">IF(W33="NOT RECORDED","",IF(VLOOKUP(I33,'Player-Force'!$A$3:$K$28,MATCH(W33,_xlfn._xlws.FILTER('Player-Force'!$A$3:$K$28,'Player-Force'!$A$3:$A$28=I33),0)+2,0)=0,"",VLOOKUP(I33,'Player-Force'!$A$3:$K$28,MATCH(W33,_xlfn._xlws.FILTER('Player-Force'!$A$3:$K$28,'Player-Force'!$A$3:$A$28=I33),0)+2,0)))</f>
        <v>Kangaroo Rifle Company</v>
      </c>
      <c r="Z33" t="str" cm="1">
        <f t="array" ref="Z33">IF(X33="NOT RECORDED","",IF(VLOOKUP(P33,'Player-Force'!$A$3:$K$28,MATCH(X33,_xlfn._xlws.FILTER('Player-Force'!$A$3:$K$28,'Player-Force'!$A$3:$A$28=P33),0)+2,0)=0,"",VLOOKUP(P33,'Player-Force'!$A$3:$K$28,MATCH(X33,_xlfn._xlws.FILTER('Player-Force'!$A$3:$K$28,'Player-Force'!$A$3:$A$28=P33),0)+2,0)))</f>
        <v>Berlin Battle Group</v>
      </c>
      <c r="AA33" t="str" cm="1">
        <f t="array" ref="AA33">IF(W33="NOT RECORDED","",IF(VLOOKUP(I33,'Player-Force'!$A$3:$K$28,MATCH(W33,_xlfn._xlws.FILTER('Player-Force'!$A$3:$K$28,'Player-Force'!$A$3:$A$28=I33),0)+3,0)=0,"",VLOOKUP(I33,'Player-Force'!$A$3:$K$28,MATCH(W33,_xlfn._xlws.FILTER('Player-Force'!$A$3:$K$28,'Player-Force'!$A$3:$A$28=I33),0)+3,0)))</f>
        <v/>
      </c>
      <c r="AB33" t="str" cm="1">
        <f t="array" ref="AB33">IF(X33="NOT RECORDED","",IF(VLOOKUP(P33,'Player-Force'!$A$3:$K$28,MATCH(X33,_xlfn._xlws.FILTER('Player-Force'!$A$3:$K$28,'Player-Force'!$A$3:$A$28=P33),0)+3,0)=0,"",VLOOKUP(P33,'Player-Force'!$A$3:$K$28,MATCH(X33,_xlfn._xlws.FILTER('Player-Force'!$A$3:$K$28,'Player-Force'!$A$3:$A$28=P33),0)+3,0)))</f>
        <v/>
      </c>
      <c r="AE33" t="str">
        <f t="shared" si="0"/>
        <v>Mechanised Infantry</v>
      </c>
      <c r="AF33" t="str">
        <f t="shared" si="1"/>
        <v>Infantry</v>
      </c>
    </row>
    <row r="34" spans="1:32" x14ac:dyDescent="0.25">
      <c r="A34">
        <v>3</v>
      </c>
      <c r="B34">
        <v>7</v>
      </c>
      <c r="C34" t="str">
        <v>no_retreat</v>
      </c>
      <c r="D34" t="str">
        <v>a</v>
      </c>
      <c r="E34" t="str">
        <v>objective_taken</v>
      </c>
      <c r="F34" t="str">
        <v>a</v>
      </c>
      <c r="G34">
        <v>0</v>
      </c>
      <c r="H34" t="str">
        <v>m17abhk4dqzbh2gjfcxwx3bars84jngw</v>
      </c>
      <c r="I34" t="str">
        <v>Lucas Helaine-Watson</v>
      </c>
      <c r="J34" t="str">
        <v>attack</v>
      </c>
      <c r="K34">
        <v>2</v>
      </c>
      <c r="L34">
        <v>7</v>
      </c>
      <c r="M34" t="str">
        <v>attacker</v>
      </c>
      <c r="N34">
        <v>0</v>
      </c>
      <c r="O34" t="str">
        <v>m1741jc3ysnb87stgxxpfx159s7qjzs9</v>
      </c>
      <c r="P34" t="str">
        <v>Gareth Lewis</v>
      </c>
      <c r="Q34" t="str">
        <v>defend</v>
      </c>
      <c r="R34">
        <v>5</v>
      </c>
      <c r="S34">
        <v>2</v>
      </c>
      <c r="T34" t="str">
        <v>defender</v>
      </c>
      <c r="U34" t="str">
        <v>Allies</v>
      </c>
      <c r="V34" t="str">
        <v>Axis</v>
      </c>
      <c r="W34" t="str">
        <f>IF(OR(OR(U34="Allies",U34="Axis"),AND(NOT(ISERROR(SEARCH("Primary",U34))),ISERROR(SEARCH(V34,U34)))),VLOOKUP(I34,'Player-Force'!$A$3:$K$28,4,0),IF(U34=V34,AC34,VLOOKUP(I34,'Player-Force'!$A$3:$K$28,8,0)))</f>
        <v>Soviet: Berlin</v>
      </c>
      <c r="X34" t="str">
        <f>IF(OR(OR(V34="Allies",V34="Axis"),AND(NOT(ISERROR(SEARCH("Primary",V34))),ISERROR(SEARCH(U34,V34)))),VLOOKUP(P34,'Player-Force'!$A$3:$K$28,4,0),IF(V34=U34,AD34,VLOOKUP(P34,'Player-Force'!$A$3:$K$28,8,0)))</f>
        <v>German: D-Day</v>
      </c>
      <c r="Y34" t="str" cm="1">
        <f t="array" ref="Y34">IF(W34="NOT RECORDED","",IF(VLOOKUP(I34,'Player-Force'!$A$3:$K$28,MATCH(W34,_xlfn._xlws.FILTER('Player-Force'!$A$3:$K$28,'Player-Force'!$A$3:$A$28=I34),0)+2,0)=0,"",VLOOKUP(I34,'Player-Force'!$A$3:$K$28,MATCH(W34,_xlfn._xlws.FILTER('Player-Force'!$A$3:$K$28,'Player-Force'!$A$3:$A$28=I34),0)+2,0)))</f>
        <v>Red Banner Rifle Regiment</v>
      </c>
      <c r="Z34" t="str" cm="1">
        <f t="array" ref="Z34">IF(X34="NOT RECORDED","",IF(VLOOKUP(P34,'Player-Force'!$A$3:$K$28,MATCH(X34,_xlfn._xlws.FILTER('Player-Force'!$A$3:$K$28,'Player-Force'!$A$3:$A$28=P34),0)+2,0)=0,"",VLOOKUP(P34,'Player-Force'!$A$3:$K$28,MATCH(X34,_xlfn._xlws.FILTER('Player-Force'!$A$3:$K$28,'Player-Force'!$A$3:$A$28=P34),0)+2,0)))</f>
        <v>Beach Defence Grenadier Company</v>
      </c>
      <c r="AA34" t="str" cm="1">
        <f t="array" ref="AA34">IF(W34="NOT RECORDED","",IF(VLOOKUP(I34,'Player-Force'!$A$3:$K$28,MATCH(W34,_xlfn._xlws.FILTER('Player-Force'!$A$3:$K$28,'Player-Force'!$A$3:$A$28=I34),0)+3,0)=0,"",VLOOKUP(I34,'Player-Force'!$A$3:$K$28,MATCH(W34,_xlfn._xlws.FILTER('Player-Force'!$A$3:$K$28,'Player-Force'!$A$3:$A$28=I34),0)+3,0)))</f>
        <v/>
      </c>
      <c r="AB34" t="str" cm="1">
        <f t="array" ref="AB34">IF(X34="NOT RECORDED","",IF(VLOOKUP(P34,'Player-Force'!$A$3:$K$28,MATCH(X34,_xlfn._xlws.FILTER('Player-Force'!$A$3:$K$28,'Player-Force'!$A$3:$A$28=P34),0)+3,0)=0,"",VLOOKUP(P34,'Player-Force'!$A$3:$K$28,MATCH(X34,_xlfn._xlws.FILTER('Player-Force'!$A$3:$K$28,'Player-Force'!$A$3:$A$28=P34),0)+3,0)))</f>
        <v/>
      </c>
      <c r="AE34" t="str">
        <f t="shared" ref="AE34:AE63" si="2">IF(VLOOKUP(I34,player_force,4,0)=W34,VLOOKUP(I34,player_force,5,0),VLOOKUP(I34,player_force,9,0))</f>
        <v>Infantry</v>
      </c>
      <c r="AF34" t="str">
        <f t="shared" ref="AF34:AF63" si="3">IF(VLOOKUP(P34,player_force,4,0)=X34,VLOOKUP(P34,player_force,5,0),VLOOKUP(P34,player_force,9,0))</f>
        <v>Infantry</v>
      </c>
    </row>
    <row r="35" spans="1:32" x14ac:dyDescent="0.25">
      <c r="A35">
        <v>3</v>
      </c>
      <c r="B35">
        <v>6</v>
      </c>
      <c r="C35" t="str">
        <v>no_retreat</v>
      </c>
      <c r="D35" t="str">
        <v>a</v>
      </c>
      <c r="E35" t="str">
        <v>attack_repelled</v>
      </c>
      <c r="F35" t="str">
        <v>b</v>
      </c>
      <c r="G35">
        <v>0</v>
      </c>
      <c r="H35" t="str">
        <v>m17avsxcwawj8dkhmc16pz013986hwv4</v>
      </c>
      <c r="I35" t="str">
        <v>Brian Wilson</v>
      </c>
      <c r="J35" t="str">
        <v>attack</v>
      </c>
      <c r="K35">
        <v>3</v>
      </c>
      <c r="L35">
        <v>2</v>
      </c>
      <c r="M35" t="str">
        <v>attacker</v>
      </c>
      <c r="N35">
        <v>0</v>
      </c>
      <c r="O35" t="str">
        <v>m178pgzek563414k5ppqxnqfph85kmqk</v>
      </c>
      <c r="P35" t="str">
        <v>Chris Stone</v>
      </c>
      <c r="Q35" t="str">
        <v>defend</v>
      </c>
      <c r="R35">
        <v>2</v>
      </c>
      <c r="S35">
        <v>7</v>
      </c>
      <c r="T35" t="str">
        <v>defender</v>
      </c>
      <c r="U35" t="str">
        <v>Axis</v>
      </c>
      <c r="V35" t="str">
        <v>Axis</v>
      </c>
      <c r="W35" t="str">
        <f>IF(OR(OR(U35="Allies",U35="Axis"),AND(NOT(ISERROR(SEARCH("Primary",U35))),ISERROR(SEARCH(V35,U35)))),VLOOKUP(I35,'Player-Force'!$A$3:$K$28,4,0),IF(U35=V35,AC35,VLOOKUP(I35,'Player-Force'!$A$3:$K$28,8,0)))</f>
        <v>German: Waffen-SS</v>
      </c>
      <c r="X35" t="str">
        <f>IF(OR(OR(V35="Allies",V35="Axis"),AND(NOT(ISERROR(SEARCH("Primary",V35))),ISERROR(SEARCH(U35,V35)))),VLOOKUP(P35,'Player-Force'!$A$3:$K$28,4,0),IF(V35=U35,AD35,VLOOKUP(P35,'Player-Force'!$A$3:$K$28,8,0)))</f>
        <v>German: Bulge</v>
      </c>
      <c r="Y35" t="str" cm="1">
        <f t="array" ref="Y35">IF(W35="NOT RECORDED","",IF(VLOOKUP(I35,'Player-Force'!$A$3:$K$28,MATCH(W35,_xlfn._xlws.FILTER('Player-Force'!$A$3:$K$28,'Player-Force'!$A$3:$A$28=I35),0)+2,0)=0,"",VLOOKUP(I35,'Player-Force'!$A$3:$K$28,MATCH(W35,_xlfn._xlws.FILTER('Player-Force'!$A$3:$K$28,'Player-Force'!$A$3:$A$28=I35),0)+2,0)))</f>
        <v>StuG SS Tank Company</v>
      </c>
      <c r="Z35" t="str" cm="1">
        <f t="array" ref="Z35">IF(X35="NOT RECORDED","",IF(VLOOKUP(P35,'Player-Force'!$A$3:$K$28,MATCH(X35,_xlfn._xlws.FILTER('Player-Force'!$A$3:$K$28,'Player-Force'!$A$3:$A$28=P35),0)+2,0)=0,"",VLOOKUP(P35,'Player-Force'!$A$3:$K$28,MATCH(X35,_xlfn._xlws.FILTER('Player-Force'!$A$3:$K$28,'Player-Force'!$A$3:$A$28=P35),0)+2,0)))</f>
        <v>Volksgrenadier Company</v>
      </c>
      <c r="AA35" t="str" cm="1">
        <f t="array" ref="AA35">IF(W35="NOT RECORDED","",IF(VLOOKUP(I35,'Player-Force'!$A$3:$K$28,MATCH(W35,_xlfn._xlws.FILTER('Player-Force'!$A$3:$K$28,'Player-Force'!$A$3:$A$28=I35),0)+3,0)=0,"",VLOOKUP(I35,'Player-Force'!$A$3:$K$28,MATCH(W35,_xlfn._xlws.FILTER('Player-Force'!$A$3:$K$28,'Player-Force'!$A$3:$A$28=I35),0)+3,0)))</f>
        <v/>
      </c>
      <c r="AB35" t="str" cm="1">
        <f t="array" ref="AB35">IF(X35="NOT RECORDED","",IF(VLOOKUP(P35,'Player-Force'!$A$3:$K$28,MATCH(X35,_xlfn._xlws.FILTER('Player-Force'!$A$3:$K$28,'Player-Force'!$A$3:$A$28=P35),0)+3,0)=0,"",VLOOKUP(P35,'Player-Force'!$A$3:$K$28,MATCH(X35,_xlfn._xlws.FILTER('Player-Force'!$A$3:$K$28,'Player-Force'!$A$3:$A$28=P35),0)+3,0)))</f>
        <v/>
      </c>
      <c r="AE35" t="str">
        <f t="shared" si="2"/>
        <v>Tank</v>
      </c>
      <c r="AF35" t="str">
        <f t="shared" si="3"/>
        <v>Infantry</v>
      </c>
    </row>
    <row r="36" spans="1:32" x14ac:dyDescent="0.25">
      <c r="A36">
        <v>3</v>
      </c>
      <c r="B36">
        <v>6</v>
      </c>
      <c r="C36" t="str">
        <v>no_retreat</v>
      </c>
      <c r="D36" t="str">
        <v>b</v>
      </c>
      <c r="E36" t="str">
        <v>attack_repelled</v>
      </c>
      <c r="F36" t="str">
        <v>a</v>
      </c>
      <c r="G36">
        <v>0</v>
      </c>
      <c r="H36" t="str">
        <v>m170ydpp6ytmfbyvamt2pdxme181gf8t</v>
      </c>
      <c r="I36" t="str">
        <v>Tom Dudley</v>
      </c>
      <c r="J36" t="str">
        <v>defend</v>
      </c>
      <c r="K36">
        <v>1</v>
      </c>
      <c r="L36">
        <v>8</v>
      </c>
      <c r="M36" t="str">
        <v>defender</v>
      </c>
      <c r="N36">
        <v>0</v>
      </c>
      <c r="O36" t="str">
        <v>m17cms3zc3pkg59r1jj41s7txn7nbk3w</v>
      </c>
      <c r="P36" t="str">
        <v>Szymon Granat</v>
      </c>
      <c r="Q36" t="str">
        <v>attack</v>
      </c>
      <c r="R36">
        <v>5</v>
      </c>
      <c r="S36">
        <v>1</v>
      </c>
      <c r="T36" t="str">
        <v>attacker</v>
      </c>
      <c r="U36" t="str">
        <v>Allies</v>
      </c>
      <c r="V36" t="str">
        <v>Primary Axis</v>
      </c>
      <c r="W36" t="str">
        <f>IF(OR(OR(U36="Allies",U36="Axis"),AND(NOT(ISERROR(SEARCH("Primary",U36))),ISERROR(SEARCH(V36,U36)))),VLOOKUP(I36,'Player-Force'!$A$3:$K$28,4,0),IF(U36=V36,AC36,VLOOKUP(I36,'Player-Force'!$A$3:$K$28,8,0)))</f>
        <v>American: Bulge</v>
      </c>
      <c r="X36" t="str">
        <f>IF(OR(OR(V36="Allies",V36="Axis"),AND(NOT(ISERROR(SEARCH("Primary",V36))),ISERROR(SEARCH(U36,V36)))),VLOOKUP(P36,'Player-Force'!$A$3:$K$28,4,0),IF(V36=U36,AD36,VLOOKUP(P36,'Player-Force'!$A$3:$K$28,8,0)))</f>
        <v>Hungarian: Bagration (Axis)</v>
      </c>
      <c r="Y36" t="str" cm="1">
        <f t="array" ref="Y36">IF(W36="NOT RECORDED","",IF(VLOOKUP(I36,'Player-Force'!$A$3:$K$28,MATCH(W36,_xlfn._xlws.FILTER('Player-Force'!$A$3:$K$28,'Player-Force'!$A$3:$A$28=I36),0)+2,0)=0,"",VLOOKUP(I36,'Player-Force'!$A$3:$K$28,MATCH(W36,_xlfn._xlws.FILTER('Player-Force'!$A$3:$K$28,'Player-Force'!$A$3:$A$28=I36),0)+2,0)))</f>
        <v>Veteran M4 Sherman (Late) Tank Company</v>
      </c>
      <c r="Z36" t="str" cm="1">
        <f t="array" ref="Z36">IF(X36="NOT RECORDED","",IF(VLOOKUP(P36,'Player-Force'!$A$3:$K$28,MATCH(X36,_xlfn._xlws.FILTER('Player-Force'!$A$3:$K$28,'Player-Force'!$A$3:$A$28=P36),0)+2,0)=0,"",VLOOKUP(P36,'Player-Force'!$A$3:$K$28,MATCH(X36,_xlfn._xlws.FILTER('Player-Force'!$A$3:$K$28,'Player-Force'!$A$3:$A$28=P36),0)+2,0)))</f>
        <v>Turán Tank Company</v>
      </c>
      <c r="AA36" t="str" cm="1">
        <f t="array" ref="AA36">IF(W36="NOT RECORDED","",IF(VLOOKUP(I36,'Player-Force'!$A$3:$K$28,MATCH(W36,_xlfn._xlws.FILTER('Player-Force'!$A$3:$K$28,'Player-Force'!$A$3:$A$28=I36),0)+3,0)=0,"",VLOOKUP(I36,'Player-Force'!$A$3:$K$28,MATCH(W36,_xlfn._xlws.FILTER('Player-Force'!$A$3:$K$28,'Player-Force'!$A$3:$A$28=I36),0)+3,0)))</f>
        <v>Battle Weary Rifle Company</v>
      </c>
      <c r="AB36" t="str" cm="1">
        <f t="array" ref="AB36">IF(X36="NOT RECORDED","",IF(VLOOKUP(P36,'Player-Force'!$A$3:$K$28,MATCH(X36,_xlfn._xlws.FILTER('Player-Force'!$A$3:$K$28,'Player-Force'!$A$3:$A$28=P36),0)+3,0)=0,"",VLOOKUP(P36,'Player-Force'!$A$3:$K$28,MATCH(X36,_xlfn._xlws.FILTER('Player-Force'!$A$3:$K$28,'Player-Force'!$A$3:$A$28=P36),0)+3,0)))</f>
        <v/>
      </c>
      <c r="AE36" t="str">
        <f t="shared" si="2"/>
        <v>Combined Tank/Infantry</v>
      </c>
      <c r="AF36" t="str">
        <f t="shared" si="3"/>
        <v>Tank</v>
      </c>
    </row>
    <row r="37" spans="1:32" x14ac:dyDescent="0.25">
      <c r="A37">
        <v>3</v>
      </c>
      <c r="B37">
        <v>6</v>
      </c>
      <c r="C37" t="str">
        <v>scouts_out</v>
      </c>
      <c r="D37" t="str">
        <v>b</v>
      </c>
      <c r="E37" t="str">
        <v>force_broken</v>
      </c>
      <c r="F37" t="str">
        <v>a</v>
      </c>
      <c r="G37">
        <v>0</v>
      </c>
      <c r="H37" t="str">
        <v>m1763d5xv5w06g0p77d794fths7k938v</v>
      </c>
      <c r="I37" t="str">
        <v>Åukasz Kur</v>
      </c>
      <c r="J37" t="str">
        <v>attack</v>
      </c>
      <c r="K37">
        <v>3</v>
      </c>
      <c r="L37">
        <v>6</v>
      </c>
      <c r="M37" t="str">
        <v>attacker</v>
      </c>
      <c r="N37">
        <v>0</v>
      </c>
      <c r="O37" t="str">
        <v>m176kt9se0tm1y2dxtkqkthwxd86tzsv</v>
      </c>
      <c r="P37" t="str">
        <v>Leo Humphreys</v>
      </c>
      <c r="Q37" t="str">
        <v>attack</v>
      </c>
      <c r="R37">
        <v>6</v>
      </c>
      <c r="S37">
        <v>3</v>
      </c>
      <c r="T37" t="str">
        <v>defender</v>
      </c>
      <c r="U37" t="str">
        <v>Axis</v>
      </c>
      <c r="V37" t="str">
        <v>Allies</v>
      </c>
      <c r="W37" t="str">
        <f>IF(OR(OR(U37="Allies",U37="Axis"),AND(NOT(ISERROR(SEARCH("Primary",U37))),ISERROR(SEARCH(V37,U37)))),VLOOKUP(I37,'Player-Force'!$A$3:$K$28,4,0),IF(U37=V37,AC37,VLOOKUP(I37,'Player-Force'!$A$3:$K$28,8,0)))</f>
        <v>German: Bulge</v>
      </c>
      <c r="X37" t="str">
        <f>IF(OR(OR(V37="Allies",V37="Axis"),AND(NOT(ISERROR(SEARCH("Primary",V37))),ISERROR(SEARCH(U37,V37)))),VLOOKUP(P37,'Player-Force'!$A$3:$K$28,4,0),IF(V37=U37,AD37,VLOOKUP(P37,'Player-Force'!$A$3:$K$28,8,0)))</f>
        <v>British: D-Day</v>
      </c>
      <c r="Y37" t="str" cm="1">
        <f t="array" ref="Y37">IF(W37="NOT RECORDED","",IF(VLOOKUP(I37,'Player-Force'!$A$3:$K$28,MATCH(W37,_xlfn._xlws.FILTER('Player-Force'!$A$3:$K$28,'Player-Force'!$A$3:$A$28=I37),0)+2,0)=0,"",VLOOKUP(I37,'Player-Force'!$A$3:$K$28,MATCH(W37,_xlfn._xlws.FILTER('Player-Force'!$A$3:$K$28,'Player-Force'!$A$3:$A$28=I37),0)+2,0)))</f>
        <v>Brigade Armoured Assault Company</v>
      </c>
      <c r="Z37" t="str" cm="1">
        <f t="array" ref="Z37">IF(X37="NOT RECORDED","",IF(VLOOKUP(P37,'Player-Force'!$A$3:$K$28,MATCH(X37,_xlfn._xlws.FILTER('Player-Force'!$A$3:$K$28,'Player-Force'!$A$3:$A$28=P37),0)+2,0)=0,"",VLOOKUP(P37,'Player-Force'!$A$3:$K$28,MATCH(X37,_xlfn._xlws.FILTER('Player-Force'!$A$3:$K$28,'Player-Force'!$A$3:$A$28=P37),0)+2,0)))</f>
        <v>Desert Rats Cromwell Armoured Squadron</v>
      </c>
      <c r="AA37" t="str" cm="1">
        <f t="array" ref="AA37">IF(W37="NOT RECORDED","",IF(VLOOKUP(I37,'Player-Force'!$A$3:$K$28,MATCH(W37,_xlfn._xlws.FILTER('Player-Force'!$A$3:$K$28,'Player-Force'!$A$3:$A$28=I37),0)+3,0)=0,"",VLOOKUP(I37,'Player-Force'!$A$3:$K$28,MATCH(W37,_xlfn._xlws.FILTER('Player-Force'!$A$3:$K$28,'Player-Force'!$A$3:$A$28=I37),0)+3,0)))</f>
        <v/>
      </c>
      <c r="AB37" t="str" cm="1">
        <f t="array" ref="AB37">IF(X37="NOT RECORDED","",IF(VLOOKUP(P37,'Player-Force'!$A$3:$K$28,MATCH(X37,_xlfn._xlws.FILTER('Player-Force'!$A$3:$K$28,'Player-Force'!$A$3:$A$28=P37),0)+3,0)=0,"",VLOOKUP(P37,'Player-Force'!$A$3:$K$28,MATCH(X37,_xlfn._xlws.FILTER('Player-Force'!$A$3:$K$28,'Player-Force'!$A$3:$A$28=P37),0)+3,0)))</f>
        <v/>
      </c>
      <c r="AE37" t="str">
        <f t="shared" si="2"/>
        <v>Mechanised Infantry</v>
      </c>
      <c r="AF37" t="str">
        <f t="shared" si="3"/>
        <v>Tank</v>
      </c>
    </row>
    <row r="38" spans="1:32" x14ac:dyDescent="0.25">
      <c r="A38">
        <v>3</v>
      </c>
      <c r="B38">
        <v>6</v>
      </c>
      <c r="C38" t="str">
        <v>scouts_out</v>
      </c>
      <c r="D38" t="str">
        <v>b</v>
      </c>
      <c r="E38" t="str">
        <v>force_broken</v>
      </c>
      <c r="F38" t="str">
        <v>a</v>
      </c>
      <c r="G38">
        <v>0</v>
      </c>
      <c r="H38" t="str">
        <v>m175sbdxx1r2zq5jn6mdscsexx86gzn2</v>
      </c>
      <c r="I38" t="str">
        <v>Laurence Kettle</v>
      </c>
      <c r="J38" t="str">
        <v>maneuver</v>
      </c>
      <c r="K38">
        <v>0</v>
      </c>
      <c r="L38">
        <v>8</v>
      </c>
      <c r="M38" t="str">
        <v>defender</v>
      </c>
      <c r="N38">
        <v>0</v>
      </c>
      <c r="O38" t="str">
        <v>m17c62q7r7gvzy8sta4yvpsy7n7nrqpc</v>
      </c>
      <c r="P38" t="str">
        <v>Simon Peyton</v>
      </c>
      <c r="Q38" t="str">
        <v>maneuver</v>
      </c>
      <c r="R38">
        <v>3</v>
      </c>
      <c r="S38">
        <v>1</v>
      </c>
      <c r="T38" t="str">
        <v>attacker</v>
      </c>
      <c r="U38" t="str">
        <v>Primary Allies</v>
      </c>
      <c r="V38" t="str">
        <v>Axis</v>
      </c>
      <c r="W38" t="str">
        <f>IF(OR(OR(U38="Allies",U38="Axis"),AND(NOT(ISERROR(SEARCH("Primary",U38))),ISERROR(SEARCH(V38,U38)))),VLOOKUP(I38,'Player-Force'!$A$3:$K$28,4,0),IF(U38=V38,AC38,VLOOKUP(I38,'Player-Force'!$A$3:$K$28,8,0)))</f>
        <v>Soviet: Bagration</v>
      </c>
      <c r="X38" t="str">
        <f>IF(OR(OR(V38="Allies",V38="Axis"),AND(NOT(ISERROR(SEARCH("Primary",V38))),ISERROR(SEARCH(U38,V38)))),VLOOKUP(P38,'Player-Force'!$A$3:$K$28,4,0),IF(V38=U38,AD38,VLOOKUP(P38,'Player-Force'!$A$3:$K$28,8,0)))</f>
        <v>German: Berlin</v>
      </c>
      <c r="Y38" t="str" cm="1">
        <f t="array" ref="Y38">IF(W38="NOT RECORDED","",IF(VLOOKUP(I38,'Player-Force'!$A$3:$K$28,MATCH(W38,_xlfn._xlws.FILTER('Player-Force'!$A$3:$K$28,'Player-Force'!$A$3:$A$28=I38),0)+2,0)=0,"",VLOOKUP(I38,'Player-Force'!$A$3:$K$28,MATCH(W38,_xlfn._xlws.FILTER('Player-Force'!$A$3:$K$28,'Player-Force'!$A$3:$A$28=I38),0)+2,0)))</f>
        <v>T-34 Tank Battalion</v>
      </c>
      <c r="Z38" t="str" cm="1">
        <f t="array" ref="Z38">IF(X38="NOT RECORDED","",IF(VLOOKUP(P38,'Player-Force'!$A$3:$K$28,MATCH(X38,_xlfn._xlws.FILTER('Player-Force'!$A$3:$K$28,'Player-Force'!$A$3:$A$28=P38),0)+2,0)=0,"",VLOOKUP(P38,'Player-Force'!$A$3:$K$28,MATCH(X38,_xlfn._xlws.FILTER('Player-Force'!$A$3:$K$28,'Player-Force'!$A$3:$A$28=P38),0)+2,0)))</f>
        <v>Beach Defence Grenadier Company</v>
      </c>
      <c r="AA38" t="str" cm="1">
        <f t="array" ref="AA38">IF(W38="NOT RECORDED","",IF(VLOOKUP(I38,'Player-Force'!$A$3:$K$28,MATCH(W38,_xlfn._xlws.FILTER('Player-Force'!$A$3:$K$28,'Player-Force'!$A$3:$A$28=I38),0)+3,0)=0,"",VLOOKUP(I38,'Player-Force'!$A$3:$K$28,MATCH(W38,_xlfn._xlws.FILTER('Player-Force'!$A$3:$K$28,'Player-Force'!$A$3:$A$28=I38),0)+3,0)))</f>
        <v/>
      </c>
      <c r="AB38" t="str" cm="1">
        <f t="array" ref="AB38">IF(X38="NOT RECORDED","",IF(VLOOKUP(P38,'Player-Force'!$A$3:$K$28,MATCH(X38,_xlfn._xlws.FILTER('Player-Force'!$A$3:$K$28,'Player-Force'!$A$3:$A$28=P38),0)+3,0)=0,"",VLOOKUP(P38,'Player-Force'!$A$3:$K$28,MATCH(X38,_xlfn._xlws.FILTER('Player-Force'!$A$3:$K$28,'Player-Force'!$A$3:$A$28=P38),0)+3,0)))</f>
        <v/>
      </c>
      <c r="AE38" t="str">
        <f t="shared" si="2"/>
        <v>Tank</v>
      </c>
      <c r="AF38" t="str">
        <f t="shared" si="3"/>
        <v>Tank</v>
      </c>
    </row>
    <row r="39" spans="1:32" x14ac:dyDescent="0.25">
      <c r="A39">
        <v>3</v>
      </c>
      <c r="B39">
        <v>9</v>
      </c>
      <c r="C39" t="str">
        <v>valley_of_death</v>
      </c>
      <c r="D39" t="str">
        <v>b</v>
      </c>
      <c r="E39" t="str">
        <v>force_broken</v>
      </c>
      <c r="F39" t="str">
        <v>a</v>
      </c>
      <c r="G39">
        <v>0</v>
      </c>
      <c r="H39" t="str">
        <v>m17d9e98h7dzkz9ks8e8tn0jmh7ncmkw</v>
      </c>
      <c r="I39" t="str">
        <v>Alex Armitage</v>
      </c>
      <c r="J39" t="str">
        <v>defend</v>
      </c>
      <c r="K39">
        <v>3</v>
      </c>
      <c r="L39">
        <v>6</v>
      </c>
      <c r="M39" t="str">
        <v>defender</v>
      </c>
      <c r="N39">
        <v>0</v>
      </c>
      <c r="O39" t="str">
        <v>m176j9ge6ss0s6pqjxrr1cpnjh86c2c8</v>
      </c>
      <c r="P39" t="str">
        <v>Jordan Williamson</v>
      </c>
      <c r="Q39" t="str">
        <v>maneuver</v>
      </c>
      <c r="R39">
        <v>4</v>
      </c>
      <c r="S39">
        <v>3</v>
      </c>
      <c r="T39" t="str">
        <v>attacker</v>
      </c>
      <c r="U39" t="str">
        <v>Axis</v>
      </c>
      <c r="V39" t="str">
        <v>Allies</v>
      </c>
      <c r="W39" t="str">
        <f>IF(OR(OR(U39="Allies",U39="Axis"),AND(NOT(ISERROR(SEARCH("Primary",U39))),ISERROR(SEARCH(V39,U39)))),VLOOKUP(I39,'Player-Force'!$A$3:$K$28,4,0),IF(U39=V39,AC39,VLOOKUP(I39,'Player-Force'!$A$3:$K$28,8,0)))</f>
        <v>German: Fortress Europe</v>
      </c>
      <c r="X39" t="str">
        <f>IF(OR(OR(V39="Allies",V39="Axis"),AND(NOT(ISERROR(SEARCH("Primary",V39))),ISERROR(SEARCH(U39,V39)))),VLOOKUP(P39,'Player-Force'!$A$3:$K$28,4,0),IF(V39=U39,AD39,VLOOKUP(P39,'Player-Force'!$A$3:$K$28,8,0)))</f>
        <v>Soviet: Berlin</v>
      </c>
      <c r="Y39" t="str" cm="1">
        <f t="array" ref="Y39">IF(W39="NOT RECORDED","",IF(VLOOKUP(I39,'Player-Force'!$A$3:$K$28,MATCH(W39,_xlfn._xlws.FILTER('Player-Force'!$A$3:$K$28,'Player-Force'!$A$3:$A$28=I39),0)+2,0)=0,"",VLOOKUP(I39,'Player-Force'!$A$3:$K$28,MATCH(W39,_xlfn._xlws.FILTER('Player-Force'!$A$3:$K$28,'Player-Force'!$A$3:$A$28=I39),0)+2,0)))</f>
        <v>Berlin Battle Group</v>
      </c>
      <c r="Z39" t="str" cm="1">
        <f t="array" ref="Z39">IF(X39="NOT RECORDED","",IF(VLOOKUP(P39,'Player-Force'!$A$3:$K$28,MATCH(X39,_xlfn._xlws.FILTER('Player-Force'!$A$3:$K$28,'Player-Force'!$A$3:$A$28=P39),0)+2,0)=0,"",VLOOKUP(P39,'Player-Force'!$A$3:$K$28,MATCH(X39,_xlfn._xlws.FILTER('Player-Force'!$A$3:$K$28,'Player-Force'!$A$3:$A$28=P39),0)+2,0)))</f>
        <v>Hero IS-2 (Late) Guards Heavy Tank Regiment</v>
      </c>
      <c r="AA39" t="str" cm="1">
        <f t="array" ref="AA39">IF(W39="NOT RECORDED","",IF(VLOOKUP(I39,'Player-Force'!$A$3:$K$28,MATCH(W39,_xlfn._xlws.FILTER('Player-Force'!$A$3:$K$28,'Player-Force'!$A$3:$A$28=I39),0)+3,0)=0,"",VLOOKUP(I39,'Player-Force'!$A$3:$K$28,MATCH(W39,_xlfn._xlws.FILTER('Player-Force'!$A$3:$K$28,'Player-Force'!$A$3:$A$28=I39),0)+3,0)))</f>
        <v/>
      </c>
      <c r="AB39" t="str" cm="1">
        <f t="array" ref="AB39">IF(X39="NOT RECORDED","",IF(VLOOKUP(P39,'Player-Force'!$A$3:$K$28,MATCH(X39,_xlfn._xlws.FILTER('Player-Force'!$A$3:$K$28,'Player-Force'!$A$3:$A$28=P39),0)+3,0)=0,"",VLOOKUP(P39,'Player-Force'!$A$3:$K$28,MATCH(X39,_xlfn._xlws.FILTER('Player-Force'!$A$3:$K$28,'Player-Force'!$A$3:$A$28=P39),0)+3,0)))</f>
        <v/>
      </c>
      <c r="AE39" t="str">
        <f t="shared" si="2"/>
        <v>Infantry</v>
      </c>
      <c r="AF39" t="str">
        <f t="shared" si="3"/>
        <v>Tank</v>
      </c>
    </row>
    <row r="40" spans="1:32" x14ac:dyDescent="0.25">
      <c r="A40">
        <v>2</v>
      </c>
      <c r="B40">
        <v>5</v>
      </c>
      <c r="C40" t="str">
        <v>cornered</v>
      </c>
      <c r="D40" t="str">
        <v>a</v>
      </c>
      <c r="E40" t="str">
        <v>time_out</v>
      </c>
      <c r="F40" t="str">
        <v>none</v>
      </c>
      <c r="G40">
        <v>0</v>
      </c>
      <c r="H40" t="str">
        <v>m174njm2q4jceqsc68swfjfyq57nw34f</v>
      </c>
      <c r="I40" t="str">
        <v>Anthony Himycz</v>
      </c>
      <c r="J40" t="str">
        <v>maneuver</v>
      </c>
      <c r="K40">
        <v>1</v>
      </c>
      <c r="L40">
        <v>1</v>
      </c>
      <c r="M40" t="str">
        <v>attacker</v>
      </c>
      <c r="N40">
        <v>0</v>
      </c>
      <c r="O40" t="str">
        <v>m17d9e98h7dzkz9ks8e8tn0jmh7ncmkw</v>
      </c>
      <c r="P40" t="str">
        <v>Alex Armitage</v>
      </c>
      <c r="Q40" t="str">
        <v>defend</v>
      </c>
      <c r="R40">
        <v>1</v>
      </c>
      <c r="S40">
        <v>1</v>
      </c>
      <c r="T40" t="str">
        <v>defender</v>
      </c>
      <c r="U40" t="str">
        <v>Allies</v>
      </c>
      <c r="V40" t="str">
        <v>Axis</v>
      </c>
      <c r="W40" t="str">
        <f>IF(OR(OR(U40="Allies",U40="Axis"),AND(NOT(ISERROR(SEARCH("Primary",U40))),ISERROR(SEARCH(V40,U40)))),VLOOKUP(I40,'Player-Force'!$A$3:$K$28,4,0),IF(U40=V40,AC40,VLOOKUP(I40,'Player-Force'!$A$3:$K$28,8,0)))</f>
        <v>British: Bulge</v>
      </c>
      <c r="X40" t="str">
        <f>IF(OR(OR(V40="Allies",V40="Axis"),AND(NOT(ISERROR(SEARCH("Primary",V40))),ISERROR(SEARCH(U40,V40)))),VLOOKUP(P40,'Player-Force'!$A$3:$K$28,4,0),IF(V40=U40,AD40,VLOOKUP(P40,'Player-Force'!$A$3:$K$28,8,0)))</f>
        <v>German: Fortress Europe</v>
      </c>
      <c r="Y40" t="str" cm="1">
        <f t="array" ref="Y40">IF(W40="NOT RECORDED","",IF(VLOOKUP(I40,'Player-Force'!$A$3:$K$28,MATCH(W40,_xlfn._xlws.FILTER('Player-Force'!$A$3:$K$28,'Player-Force'!$A$3:$A$28=I40),0)+2,0)=0,"",VLOOKUP(I40,'Player-Force'!$A$3:$K$28,MATCH(W40,_xlfn._xlws.FILTER('Player-Force'!$A$3:$K$28,'Player-Force'!$A$3:$A$28=I40),0)+2,0)))</f>
        <v>Ram Armoured Squadron</v>
      </c>
      <c r="Z40" t="str" cm="1">
        <f t="array" ref="Z40">IF(X40="NOT RECORDED","",IF(VLOOKUP(P40,'Player-Force'!$A$3:$K$28,MATCH(X40,_xlfn._xlws.FILTER('Player-Force'!$A$3:$K$28,'Player-Force'!$A$3:$A$28=P40),0)+2,0)=0,"",VLOOKUP(P40,'Player-Force'!$A$3:$K$28,MATCH(X40,_xlfn._xlws.FILTER('Player-Force'!$A$3:$K$28,'Player-Force'!$A$3:$A$28=P40),0)+2,0)))</f>
        <v>Berlin Battle Group</v>
      </c>
      <c r="AA40" t="str" cm="1">
        <f t="array" ref="AA40">IF(W40="NOT RECORDED","",IF(VLOOKUP(I40,'Player-Force'!$A$3:$K$28,MATCH(W40,_xlfn._xlws.FILTER('Player-Force'!$A$3:$K$28,'Player-Force'!$A$3:$A$28=I40),0)+3,0)=0,"",VLOOKUP(I40,'Player-Force'!$A$3:$K$28,MATCH(W40,_xlfn._xlws.FILTER('Player-Force'!$A$3:$K$28,'Player-Force'!$A$3:$A$28=I40),0)+3,0)))</f>
        <v/>
      </c>
      <c r="AB40" t="str" cm="1">
        <f t="array" ref="AB40">IF(X40="NOT RECORDED","",IF(VLOOKUP(P40,'Player-Force'!$A$3:$K$28,MATCH(X40,_xlfn._xlws.FILTER('Player-Force'!$A$3:$K$28,'Player-Force'!$A$3:$A$28=P40),0)+3,0)=0,"",VLOOKUP(P40,'Player-Force'!$A$3:$K$28,MATCH(X40,_xlfn._xlws.FILTER('Player-Force'!$A$3:$K$28,'Player-Force'!$A$3:$A$28=P40),0)+3,0)))</f>
        <v/>
      </c>
      <c r="AE40" t="str">
        <f t="shared" si="2"/>
        <v>Tank</v>
      </c>
      <c r="AF40" t="str">
        <f t="shared" si="3"/>
        <v>Infantry</v>
      </c>
    </row>
    <row r="41" spans="1:32" x14ac:dyDescent="0.25">
      <c r="A41">
        <v>2</v>
      </c>
      <c r="B41">
        <v>4</v>
      </c>
      <c r="C41" t="str">
        <v>cornered</v>
      </c>
      <c r="D41" t="str">
        <v>a</v>
      </c>
      <c r="E41" t="str">
        <v>time_out</v>
      </c>
      <c r="F41" t="str">
        <v>none</v>
      </c>
      <c r="G41">
        <v>0</v>
      </c>
      <c r="H41" t="str">
        <v>m174j7e9f6tmr5tvp1018ymte1864gw1</v>
      </c>
      <c r="I41" t="str">
        <v>Frank Keast</v>
      </c>
      <c r="J41" t="str">
        <v>maneuver</v>
      </c>
      <c r="K41">
        <v>4</v>
      </c>
      <c r="L41">
        <v>3</v>
      </c>
      <c r="M41" t="str">
        <v>attacker</v>
      </c>
      <c r="N41">
        <v>0</v>
      </c>
      <c r="O41" t="str">
        <v>m1727vbteqpkwbc781rz8rw0397kqy2a</v>
      </c>
      <c r="P41" t="str">
        <v>Jacopo Sem</v>
      </c>
      <c r="Q41" t="str">
        <v>defend</v>
      </c>
      <c r="R41">
        <v>3</v>
      </c>
      <c r="S41">
        <v>3</v>
      </c>
      <c r="T41" t="str">
        <v>defender</v>
      </c>
      <c r="U41" t="str">
        <v>Primary Allies</v>
      </c>
      <c r="V41" t="str">
        <v>Axis</v>
      </c>
      <c r="W41" t="str">
        <f>IF(OR(OR(U41="Allies",U41="Axis"),AND(NOT(ISERROR(SEARCH("Primary",U41))),ISERROR(SEARCH(V41,U41)))),VLOOKUP(I41,'Player-Force'!$A$3:$K$28,4,0),IF(U41=V41,AC41,VLOOKUP(I41,'Player-Force'!$A$3:$K$28,8,0)))</f>
        <v>Romanian: Bagration (Allies)</v>
      </c>
      <c r="X41" t="str">
        <f>IF(OR(OR(V41="Allies",V41="Axis"),AND(NOT(ISERROR(SEARCH("Primary",V41))),ISERROR(SEARCH(U41,V41)))),VLOOKUP(P41,'Player-Force'!$A$3:$K$28,4,0),IF(V41=U41,AD41,VLOOKUP(P41,'Player-Force'!$A$3:$K$28,8,0)))</f>
        <v>German: Berlin</v>
      </c>
      <c r="Y41" t="str" cm="1">
        <f t="array" ref="Y41">IF(W41="NOT RECORDED","",IF(VLOOKUP(I41,'Player-Force'!$A$3:$K$28,MATCH(W41,_xlfn._xlws.FILTER('Player-Force'!$A$3:$K$28,'Player-Force'!$A$3:$A$28=I41),0)+2,0)=0,"",VLOOKUP(I41,'Player-Force'!$A$3:$K$28,MATCH(W41,_xlfn._xlws.FILTER('Player-Force'!$A$3:$K$28,'Player-Force'!$A$3:$A$28=I41),0)+2,0)))</f>
        <v>Motorised Rifle Company</v>
      </c>
      <c r="Z41" t="str" cm="1">
        <f t="array" ref="Z41">IF(X41="NOT RECORDED","",IF(VLOOKUP(P41,'Player-Force'!$A$3:$K$28,MATCH(X41,_xlfn._xlws.FILTER('Player-Force'!$A$3:$K$28,'Player-Force'!$A$3:$A$28=P41),0)+2,0)=0,"",VLOOKUP(P41,'Player-Force'!$A$3:$K$28,MATCH(X41,_xlfn._xlws.FILTER('Player-Force'!$A$3:$K$28,'Player-Force'!$A$3:$A$28=P41),0)+2,0)))</f>
        <v>Berlin Battle Group</v>
      </c>
      <c r="AA41" t="str" cm="1">
        <f t="array" ref="AA41">IF(W41="NOT RECORDED","",IF(VLOOKUP(I41,'Player-Force'!$A$3:$K$28,MATCH(W41,_xlfn._xlws.FILTER('Player-Force'!$A$3:$K$28,'Player-Force'!$A$3:$A$28=I41),0)+3,0)=0,"",VLOOKUP(I41,'Player-Force'!$A$3:$K$28,MATCH(W41,_xlfn._xlws.FILTER('Player-Force'!$A$3:$K$28,'Player-Force'!$A$3:$A$28=I41),0)+3,0)))</f>
        <v>Hero T-34 (85mm) Tank Battalion (Allied Formation)</v>
      </c>
      <c r="AB41" t="str" cm="1">
        <f t="array" ref="AB41">IF(X41="NOT RECORDED","",IF(VLOOKUP(P41,'Player-Force'!$A$3:$K$28,MATCH(X41,_xlfn._xlws.FILTER('Player-Force'!$A$3:$K$28,'Player-Force'!$A$3:$A$28=P41),0)+3,0)=0,"",VLOOKUP(P41,'Player-Force'!$A$3:$K$28,MATCH(X41,_xlfn._xlws.FILTER('Player-Force'!$A$3:$K$28,'Player-Force'!$A$3:$A$28=P41),0)+3,0)))</f>
        <v/>
      </c>
      <c r="AE41" t="str">
        <f t="shared" si="2"/>
        <v>Combined Tank/Infantry</v>
      </c>
      <c r="AF41" t="str">
        <f t="shared" si="3"/>
        <v>Infantry</v>
      </c>
    </row>
    <row r="42" spans="1:32" x14ac:dyDescent="0.25">
      <c r="A42">
        <v>2</v>
      </c>
      <c r="B42">
        <v>6</v>
      </c>
      <c r="C42" t="str">
        <v>cornered</v>
      </c>
      <c r="D42" t="str">
        <v>a</v>
      </c>
      <c r="E42" t="str">
        <v>attack_repelled</v>
      </c>
      <c r="F42" t="str">
        <v>b</v>
      </c>
      <c r="G42">
        <v>0</v>
      </c>
      <c r="H42" t="str">
        <v>m17avsxcwawj8dkhmc16pz013986hwv4</v>
      </c>
      <c r="I42" t="str">
        <v>Brian Wilson</v>
      </c>
      <c r="J42" t="str">
        <v>maneuver</v>
      </c>
      <c r="K42">
        <v>2</v>
      </c>
      <c r="L42">
        <v>2</v>
      </c>
      <c r="M42" t="str">
        <v>attacker</v>
      </c>
      <c r="N42">
        <v>0</v>
      </c>
      <c r="O42" t="str">
        <v>m17dvz8k468ssw64qe57e65y9186rwt8</v>
      </c>
      <c r="P42" t="str">
        <v>Keith Martin-Smith</v>
      </c>
      <c r="Q42" t="str">
        <v>defend</v>
      </c>
      <c r="R42">
        <v>2</v>
      </c>
      <c r="S42">
        <v>7</v>
      </c>
      <c r="T42" t="str">
        <v>defender</v>
      </c>
      <c r="U42" t="str">
        <v>Axis</v>
      </c>
      <c r="V42" t="str">
        <v>Allies</v>
      </c>
      <c r="W42" t="str">
        <f>IF(OR(OR(U42="Allies",U42="Axis"),AND(NOT(ISERROR(SEARCH("Primary",U42))),ISERROR(SEARCH(V42,U42)))),VLOOKUP(I42,'Player-Force'!$A$3:$K$28,4,0),IF(U42=V42,AC42,VLOOKUP(I42,'Player-Force'!$A$3:$K$28,8,0)))</f>
        <v>German: Waffen-SS</v>
      </c>
      <c r="X42" t="str">
        <f>IF(OR(OR(V42="Allies",V42="Axis"),AND(NOT(ISERROR(SEARCH("Primary",V42))),ISERROR(SEARCH(U42,V42)))),VLOOKUP(P42,'Player-Force'!$A$3:$K$28,4,0),IF(V42=U42,AD42,VLOOKUP(P42,'Player-Force'!$A$3:$K$28,8,0)))</f>
        <v>Soviet: Bagration</v>
      </c>
      <c r="Y42" t="str" cm="1">
        <f t="array" ref="Y42">IF(W42="NOT RECORDED","",IF(VLOOKUP(I42,'Player-Force'!$A$3:$K$28,MATCH(W42,_xlfn._xlws.FILTER('Player-Force'!$A$3:$K$28,'Player-Force'!$A$3:$A$28=I42),0)+2,0)=0,"",VLOOKUP(I42,'Player-Force'!$A$3:$K$28,MATCH(W42,_xlfn._xlws.FILTER('Player-Force'!$A$3:$K$28,'Player-Force'!$A$3:$A$28=I42),0)+2,0)))</f>
        <v>StuG SS Tank Company</v>
      </c>
      <c r="Z42" t="str" cm="1">
        <f t="array" ref="Z42">IF(X42="NOT RECORDED","",IF(VLOOKUP(P42,'Player-Force'!$A$3:$K$28,MATCH(X42,_xlfn._xlws.FILTER('Player-Force'!$A$3:$K$28,'Player-Force'!$A$3:$A$28=P42),0)+2,0)=0,"",VLOOKUP(P42,'Player-Force'!$A$3:$K$28,MATCH(X42,_xlfn._xlws.FILTER('Player-Force'!$A$3:$K$28,'Player-Force'!$A$3:$A$28=P42),0)+2,0)))</f>
        <v>Medium SP Artillery Regiment</v>
      </c>
      <c r="AA42" t="str" cm="1">
        <f t="array" ref="AA42">IF(W42="NOT RECORDED","",IF(VLOOKUP(I42,'Player-Force'!$A$3:$K$28,MATCH(W42,_xlfn._xlws.FILTER('Player-Force'!$A$3:$K$28,'Player-Force'!$A$3:$A$28=I42),0)+3,0)=0,"",VLOOKUP(I42,'Player-Force'!$A$3:$K$28,MATCH(W42,_xlfn._xlws.FILTER('Player-Force'!$A$3:$K$28,'Player-Force'!$A$3:$A$28=I42),0)+3,0)))</f>
        <v/>
      </c>
      <c r="AB42" t="str" cm="1">
        <f t="array" ref="AB42">IF(X42="NOT RECORDED","",IF(VLOOKUP(P42,'Player-Force'!$A$3:$K$28,MATCH(X42,_xlfn._xlws.FILTER('Player-Force'!$A$3:$K$28,'Player-Force'!$A$3:$A$28=P42),0)+3,0)=0,"",VLOOKUP(P42,'Player-Force'!$A$3:$K$28,MATCH(X42,_xlfn._xlws.FILTER('Player-Force'!$A$3:$K$28,'Player-Force'!$A$3:$A$28=P42),0)+3,0)))</f>
        <v>Hero Motor Rifle Battalion</v>
      </c>
      <c r="AE42" t="str">
        <f t="shared" si="2"/>
        <v>Tank</v>
      </c>
      <c r="AF42" t="str">
        <f t="shared" si="3"/>
        <v>Combined Tank/Infantry</v>
      </c>
    </row>
    <row r="43" spans="1:32" x14ac:dyDescent="0.25">
      <c r="A43">
        <v>2</v>
      </c>
      <c r="B43">
        <v>7</v>
      </c>
      <c r="C43" t="str">
        <v>counterstrike</v>
      </c>
      <c r="D43" t="str">
        <v>b</v>
      </c>
      <c r="E43" t="str">
        <v>time_out</v>
      </c>
      <c r="F43" t="str">
        <v>none</v>
      </c>
      <c r="G43">
        <v>0</v>
      </c>
      <c r="H43" t="str">
        <v>m17cms3zc3pkg59r1jj41s7txn7nbk3w</v>
      </c>
      <c r="I43" t="str">
        <v>Szymon Granat</v>
      </c>
      <c r="J43" t="str">
        <v>attack</v>
      </c>
      <c r="K43">
        <v>7</v>
      </c>
      <c r="L43">
        <v>3</v>
      </c>
      <c r="M43" t="str">
        <v>attacker</v>
      </c>
      <c r="N43">
        <v>0</v>
      </c>
      <c r="O43" t="str">
        <v>m17e6mz911704amf7nvgscbtw97nd43j</v>
      </c>
      <c r="P43" t="str">
        <v>Krzysztof Kuczerawy</v>
      </c>
      <c r="Q43" t="str">
        <v>maneuver</v>
      </c>
      <c r="R43">
        <v>4</v>
      </c>
      <c r="S43">
        <v>3</v>
      </c>
      <c r="T43" t="str">
        <v>defender</v>
      </c>
      <c r="U43" t="str">
        <v>Primary Axis</v>
      </c>
      <c r="V43" t="str">
        <v>Allies</v>
      </c>
      <c r="W43" t="str">
        <f>IF(OR(OR(U43="Allies",U43="Axis"),AND(NOT(ISERROR(SEARCH("Primary",U43))),ISERROR(SEARCH(V43,U43)))),VLOOKUP(I43,'Player-Force'!$A$3:$K$28,4,0),IF(U43=V43,AC43,VLOOKUP(I43,'Player-Force'!$A$3:$K$28,8,0)))</f>
        <v>Hungarian: Bagration (Axis)</v>
      </c>
      <c r="X43" t="str">
        <f>IF(OR(OR(V43="Allies",V43="Axis"),AND(NOT(ISERROR(SEARCH("Primary",V43))),ISERROR(SEARCH(U43,V43)))),VLOOKUP(P43,'Player-Force'!$A$3:$K$28,4,0),IF(V43=U43,AD43,VLOOKUP(P43,'Player-Force'!$A$3:$K$28,8,0)))</f>
        <v>British: Bulge</v>
      </c>
      <c r="Y43" t="str" cm="1">
        <f t="array" ref="Y43">IF(W43="NOT RECORDED","",IF(VLOOKUP(I43,'Player-Force'!$A$3:$K$28,MATCH(W43,_xlfn._xlws.FILTER('Player-Force'!$A$3:$K$28,'Player-Force'!$A$3:$A$28=I43),0)+2,0)=0,"",VLOOKUP(I43,'Player-Force'!$A$3:$K$28,MATCH(W43,_xlfn._xlws.FILTER('Player-Force'!$A$3:$K$28,'Player-Force'!$A$3:$A$28=I43),0)+2,0)))</f>
        <v>Turán Tank Company</v>
      </c>
      <c r="Z43" t="str" cm="1">
        <f t="array" ref="Z43">IF(X43="NOT RECORDED","",IF(VLOOKUP(P43,'Player-Force'!$A$3:$K$28,MATCH(X43,_xlfn._xlws.FILTER('Player-Force'!$A$3:$K$28,'Player-Force'!$A$3:$A$28=P43),0)+2,0)=0,"",VLOOKUP(P43,'Player-Force'!$A$3:$K$28,MATCH(X43,_xlfn._xlws.FILTER('Player-Force'!$A$3:$K$28,'Player-Force'!$A$3:$A$28=P43),0)+2,0)))</f>
        <v>Kangaroo Rifle Company</v>
      </c>
      <c r="AA43" t="str" cm="1">
        <f t="array" ref="AA43">IF(W43="NOT RECORDED","",IF(VLOOKUP(I43,'Player-Force'!$A$3:$K$28,MATCH(W43,_xlfn._xlws.FILTER('Player-Force'!$A$3:$K$28,'Player-Force'!$A$3:$A$28=I43),0)+3,0)=0,"",VLOOKUP(I43,'Player-Force'!$A$3:$K$28,MATCH(W43,_xlfn._xlws.FILTER('Player-Force'!$A$3:$K$28,'Player-Force'!$A$3:$A$28=I43),0)+3,0)))</f>
        <v/>
      </c>
      <c r="AB43" t="str" cm="1">
        <f t="array" ref="AB43">IF(X43="NOT RECORDED","",IF(VLOOKUP(P43,'Player-Force'!$A$3:$K$28,MATCH(X43,_xlfn._xlws.FILTER('Player-Force'!$A$3:$K$28,'Player-Force'!$A$3:$A$28=P43),0)+3,0)=0,"",VLOOKUP(P43,'Player-Force'!$A$3:$K$28,MATCH(X43,_xlfn._xlws.FILTER('Player-Force'!$A$3:$K$28,'Player-Force'!$A$3:$A$28=P43),0)+3,0)))</f>
        <v/>
      </c>
      <c r="AE43" t="str">
        <f t="shared" si="2"/>
        <v>Tank</v>
      </c>
      <c r="AF43" t="str">
        <f t="shared" si="3"/>
        <v>Mechanised Infantry</v>
      </c>
    </row>
    <row r="44" spans="1:32" x14ac:dyDescent="0.25">
      <c r="A44">
        <v>2</v>
      </c>
      <c r="B44">
        <v>6</v>
      </c>
      <c r="C44" t="str">
        <v>counterstrike</v>
      </c>
      <c r="D44" t="str">
        <v>b</v>
      </c>
      <c r="E44" t="str">
        <v>objective_taken</v>
      </c>
      <c r="F44" t="str">
        <v>a</v>
      </c>
      <c r="G44">
        <v>0</v>
      </c>
      <c r="H44" t="str">
        <v>m176m7qa02ds8hsgzgbm4e4ssn7rhm68</v>
      </c>
      <c r="I44" t="str">
        <v>Kenneth Alexander</v>
      </c>
      <c r="J44" t="str">
        <v>attack</v>
      </c>
      <c r="K44">
        <v>4</v>
      </c>
      <c r="L44">
        <v>6</v>
      </c>
      <c r="M44" t="str">
        <v>attacker</v>
      </c>
      <c r="N44">
        <v>0</v>
      </c>
      <c r="O44" t="str">
        <v>m176rx4162gqb0r56mkm423ckh7mms1f</v>
      </c>
      <c r="P44" t="str">
        <v>Andy Somerville</v>
      </c>
      <c r="Q44" t="str">
        <v>maneuver</v>
      </c>
      <c r="R44">
        <v>1</v>
      </c>
      <c r="S44">
        <v>3</v>
      </c>
      <c r="T44" t="str">
        <v>defender</v>
      </c>
      <c r="U44" t="str">
        <v>Axis</v>
      </c>
      <c r="V44" t="str">
        <v>Primary Allies</v>
      </c>
      <c r="W44" t="str">
        <f>IF(OR(OR(U44="Allies",U44="Axis"),AND(NOT(ISERROR(SEARCH("Primary",U44))),ISERROR(SEARCH(V44,U44)))),VLOOKUP(I44,'Player-Force'!$A$3:$K$28,4,0),IF(U44=V44,AC44,VLOOKUP(I44,'Player-Force'!$A$3:$K$28,8,0)))</f>
        <v>German: Bagration</v>
      </c>
      <c r="X44" t="str">
        <f>IF(OR(OR(V44="Allies",V44="Axis"),AND(NOT(ISERROR(SEARCH("Primary",V44))),ISERROR(SEARCH(U44,V44)))),VLOOKUP(P44,'Player-Force'!$A$3:$K$28,4,0),IF(V44=U44,AD44,VLOOKUP(P44,'Player-Force'!$A$3:$K$28,8,0)))</f>
        <v>Soviet: Bagration</v>
      </c>
      <c r="Y44" t="str" cm="1">
        <f t="array" ref="Y44">IF(W44="NOT RECORDED","",IF(VLOOKUP(I44,'Player-Force'!$A$3:$K$28,MATCH(W44,_xlfn._xlws.FILTER('Player-Force'!$A$3:$K$28,'Player-Force'!$A$3:$A$28=I44),0)+2,0)=0,"",VLOOKUP(I44,'Player-Force'!$A$3:$K$28,MATCH(W44,_xlfn._xlws.FILTER('Player-Force'!$A$3:$K$28,'Player-Force'!$A$3:$A$28=I44),0)+2,0)))</f>
        <v>Panther Tank Company</v>
      </c>
      <c r="Z44" t="str" cm="1">
        <f t="array" ref="Z44">IF(X44="NOT RECORDED","",IF(VLOOKUP(P44,'Player-Force'!$A$3:$K$28,MATCH(X44,_xlfn._xlws.FILTER('Player-Force'!$A$3:$K$28,'Player-Force'!$A$3:$A$28=P44),0)+2,0)=0,"",VLOOKUP(P44,'Player-Force'!$A$3:$K$28,MATCH(X44,_xlfn._xlws.FILTER('Player-Force'!$A$3:$K$28,'Player-Force'!$A$3:$A$28=P44),0)+2,0)))</f>
        <v>IS-85 Guards Heavy Tank Regiment</v>
      </c>
      <c r="AA44" t="str" cm="1">
        <f t="array" ref="AA44">IF(W44="NOT RECORDED","",IF(VLOOKUP(I44,'Player-Force'!$A$3:$K$28,MATCH(W44,_xlfn._xlws.FILTER('Player-Force'!$A$3:$K$28,'Player-Force'!$A$3:$A$28=I44),0)+3,0)=0,"",VLOOKUP(I44,'Player-Force'!$A$3:$K$28,MATCH(W44,_xlfn._xlws.FILTER('Player-Force'!$A$3:$K$28,'Player-Force'!$A$3:$A$28=I44),0)+3,0)))</f>
        <v/>
      </c>
      <c r="AB44" t="str" cm="1">
        <f t="array" ref="AB44">IF(X44="NOT RECORDED","",IF(VLOOKUP(P44,'Player-Force'!$A$3:$K$28,MATCH(X44,_xlfn._xlws.FILTER('Player-Force'!$A$3:$K$28,'Player-Force'!$A$3:$A$28=P44),0)+3,0)=0,"",VLOOKUP(P44,'Player-Force'!$A$3:$K$28,MATCH(X44,_xlfn._xlws.FILTER('Player-Force'!$A$3:$K$28,'Player-Force'!$A$3:$A$28=P44),0)+3,0)))</f>
        <v>Hero Motor Rifle Battalion</v>
      </c>
      <c r="AE44" t="str">
        <f t="shared" si="2"/>
        <v>Tank</v>
      </c>
      <c r="AF44" t="str">
        <f t="shared" si="3"/>
        <v>Combined Tank/Infantry</v>
      </c>
    </row>
    <row r="45" spans="1:32" x14ac:dyDescent="0.25">
      <c r="A45">
        <v>2</v>
      </c>
      <c r="B45">
        <v>7</v>
      </c>
      <c r="C45" t="str">
        <v>dust_up</v>
      </c>
      <c r="D45" t="str">
        <v>a</v>
      </c>
      <c r="E45" t="str">
        <v>time_out</v>
      </c>
      <c r="F45" t="str">
        <v>none</v>
      </c>
      <c r="G45">
        <v>0</v>
      </c>
      <c r="H45" t="str">
        <v>m178pgzek563414k5ppqxnqfph85kmqk</v>
      </c>
      <c r="I45" t="str">
        <v>Chris Stone</v>
      </c>
      <c r="J45" t="str">
        <v>defend</v>
      </c>
      <c r="K45">
        <v>0</v>
      </c>
      <c r="L45">
        <v>1</v>
      </c>
      <c r="M45" t="str">
        <v>defender</v>
      </c>
      <c r="N45">
        <v>0</v>
      </c>
      <c r="O45" t="str">
        <v>m17dd8ekynshgzsaqzrqa04dh585wjhe</v>
      </c>
      <c r="P45" t="str">
        <v xml:space="preserve">Jakub WÅ‚osowicz </v>
      </c>
      <c r="Q45" t="str">
        <v>defend</v>
      </c>
      <c r="R45">
        <v>1</v>
      </c>
      <c r="S45">
        <v>1</v>
      </c>
      <c r="T45" t="str">
        <v>attacker</v>
      </c>
      <c r="U45" t="str">
        <v>Axis</v>
      </c>
      <c r="V45" t="str">
        <v>Allies</v>
      </c>
      <c r="W45" t="str">
        <f>IF(OR(OR(U45="Allies",U45="Axis"),AND(NOT(ISERROR(SEARCH("Primary",U45))),ISERROR(SEARCH(V45,U45)))),VLOOKUP(I45,'Player-Force'!$A$3:$K$28,4,0),IF(U45=V45,AC45,VLOOKUP(I45,'Player-Force'!$A$3:$K$28,8,0)))</f>
        <v>German: Bulge</v>
      </c>
      <c r="X45" t="str">
        <f>IF(OR(OR(V45="Allies",V45="Axis"),AND(NOT(ISERROR(SEARCH("Primary",V45))),ISERROR(SEARCH(U45,V45)))),VLOOKUP(P45,'Player-Force'!$A$3:$K$28,4,0),IF(V45=U45,AD45,VLOOKUP(P45,'Player-Force'!$A$3:$K$28,8,0)))</f>
        <v>Soviet: Bagration</v>
      </c>
      <c r="Y45" t="str" cm="1">
        <f t="array" ref="Y45">IF(W45="NOT RECORDED","",IF(VLOOKUP(I45,'Player-Force'!$A$3:$K$28,MATCH(W45,_xlfn._xlws.FILTER('Player-Force'!$A$3:$K$28,'Player-Force'!$A$3:$A$28=I45),0)+2,0)=0,"",VLOOKUP(I45,'Player-Force'!$A$3:$K$28,MATCH(W45,_xlfn._xlws.FILTER('Player-Force'!$A$3:$K$28,'Player-Force'!$A$3:$A$28=I45),0)+2,0)))</f>
        <v>Volksgrenadier Company</v>
      </c>
      <c r="Z45" t="str" cm="1">
        <f t="array" ref="Z45">IF(X45="NOT RECORDED","",IF(VLOOKUP(P45,'Player-Force'!$A$3:$K$28,MATCH(X45,_xlfn._xlws.FILTER('Player-Force'!$A$3:$K$28,'Player-Force'!$A$3:$A$28=P45),0)+2,0)=0,"",VLOOKUP(P45,'Player-Force'!$A$3:$K$28,MATCH(X45,_xlfn._xlws.FILTER('Player-Force'!$A$3:$K$28,'Player-Force'!$A$3:$A$28=P45),0)+2,0)))</f>
        <v>Hero Motor Rifle Battalion</v>
      </c>
      <c r="AA45" t="str" cm="1">
        <f t="array" ref="AA45">IF(W45="NOT RECORDED","",IF(VLOOKUP(I45,'Player-Force'!$A$3:$K$28,MATCH(W45,_xlfn._xlws.FILTER('Player-Force'!$A$3:$K$28,'Player-Force'!$A$3:$A$28=I45),0)+3,0)=0,"",VLOOKUP(I45,'Player-Force'!$A$3:$K$28,MATCH(W45,_xlfn._xlws.FILTER('Player-Force'!$A$3:$K$28,'Player-Force'!$A$3:$A$28=I45),0)+3,0)))</f>
        <v/>
      </c>
      <c r="AB45" t="str" cm="1">
        <f t="array" ref="AB45">IF(X45="NOT RECORDED","",IF(VLOOKUP(P45,'Player-Force'!$A$3:$K$28,MATCH(X45,_xlfn._xlws.FILTER('Player-Force'!$A$3:$K$28,'Player-Force'!$A$3:$A$28=P45),0)+3,0)=0,"",VLOOKUP(P45,'Player-Force'!$A$3:$K$28,MATCH(X45,_xlfn._xlws.FILTER('Player-Force'!$A$3:$K$28,'Player-Force'!$A$3:$A$28=P45),0)+3,0)))</f>
        <v/>
      </c>
      <c r="AE45" t="str">
        <f t="shared" si="2"/>
        <v>Infantry</v>
      </c>
      <c r="AF45" t="str">
        <f t="shared" si="3"/>
        <v>Infantry</v>
      </c>
    </row>
    <row r="46" spans="1:32" x14ac:dyDescent="0.25">
      <c r="A46">
        <v>2</v>
      </c>
      <c r="B46">
        <v>5</v>
      </c>
      <c r="C46" t="str">
        <v>dust_up</v>
      </c>
      <c r="D46" t="str">
        <v>b</v>
      </c>
      <c r="E46" t="str">
        <v>objective_taken</v>
      </c>
      <c r="F46" t="str">
        <v>b</v>
      </c>
      <c r="G46">
        <v>0</v>
      </c>
      <c r="H46" t="str">
        <v>m173e4ca5ymc0zvp6nnnfz8kqh85hdrg</v>
      </c>
      <c r="I46" t="str">
        <v>Raymond Young</v>
      </c>
      <c r="J46" t="str">
        <v>defend</v>
      </c>
      <c r="K46">
        <v>4</v>
      </c>
      <c r="L46">
        <v>1</v>
      </c>
      <c r="M46" t="str">
        <v>defender</v>
      </c>
      <c r="N46">
        <v>0</v>
      </c>
      <c r="O46" t="str">
        <v>m17d2hv9vk3g5e8etkqkbqbcmn85pv05</v>
      </c>
      <c r="P46" t="str">
        <v>Alasdair Galloway</v>
      </c>
      <c r="Q46" t="str">
        <v>defend</v>
      </c>
      <c r="R46">
        <v>0</v>
      </c>
      <c r="S46">
        <v>8</v>
      </c>
      <c r="T46" t="str">
        <v>attacker</v>
      </c>
      <c r="U46" t="str">
        <v>Axis</v>
      </c>
      <c r="V46" t="str">
        <v>Primary Axis</v>
      </c>
      <c r="W46" t="str">
        <f>IF(OR(OR(U46="Allies",U46="Axis"),AND(NOT(ISERROR(SEARCH("Primary",U46))),ISERROR(SEARCH(V46,U46)))),VLOOKUP(I46,'Player-Force'!$A$3:$K$28,4,0),IF(U46=V46,AC46,VLOOKUP(I46,'Player-Force'!$A$3:$K$28,8,0)))</f>
        <v>German: D-Day</v>
      </c>
      <c r="X46" t="str">
        <f>IF(OR(OR(V46="Allies",V46="Axis"),AND(NOT(ISERROR(SEARCH("Primary",V46))),ISERROR(SEARCH(U46,V46)))),VLOOKUP(P46,'Player-Force'!$A$3:$K$28,4,0),IF(V46=U46,AD46,VLOOKUP(P46,'Player-Force'!$A$3:$K$28,8,0)))</f>
        <v>American: D-Day</v>
      </c>
      <c r="Y46" t="str" cm="1">
        <f t="array" ref="Y46">IF(W46="NOT RECORDED","",IF(VLOOKUP(I46,'Player-Force'!$A$3:$K$28,MATCH(W46,_xlfn._xlws.FILTER('Player-Force'!$A$3:$K$28,'Player-Force'!$A$3:$A$28=I46),0)+2,0)=0,"",VLOOKUP(I46,'Player-Force'!$A$3:$K$28,MATCH(W46,_xlfn._xlws.FILTER('Player-Force'!$A$3:$K$28,'Player-Force'!$A$3:$A$28=I46),0)+2,0)))</f>
        <v>Beach Defence Grenadier Company</v>
      </c>
      <c r="Z46" t="str" cm="1">
        <f t="array" ref="Z46">IF(X46="NOT RECORDED","",IF(VLOOKUP(P46,'Player-Force'!$A$3:$K$28,MATCH(X46,_xlfn._xlws.FILTER('Player-Force'!$A$3:$K$28,'Player-Force'!$A$3:$A$28=P46),0)+2,0)=0,"",VLOOKUP(P46,'Player-Force'!$A$3:$K$28,MATCH(X46,_xlfn._xlws.FILTER('Player-Force'!$A$3:$K$28,'Player-Force'!$A$3:$A$28=P46),0)+2,0)))</f>
        <v>Parachute Rifle Company</v>
      </c>
      <c r="AA46" t="str" cm="1">
        <f t="array" ref="AA46">IF(W46="NOT RECORDED","",IF(VLOOKUP(I46,'Player-Force'!$A$3:$K$28,MATCH(W46,_xlfn._xlws.FILTER('Player-Force'!$A$3:$K$28,'Player-Force'!$A$3:$A$28=I46),0)+3,0)=0,"",VLOOKUP(I46,'Player-Force'!$A$3:$K$28,MATCH(W46,_xlfn._xlws.FILTER('Player-Force'!$A$3:$K$28,'Player-Force'!$A$3:$A$28=I46),0)+3,0)))</f>
        <v/>
      </c>
      <c r="AB46" t="str" cm="1">
        <f t="array" ref="AB46">IF(X46="NOT RECORDED","",IF(VLOOKUP(P46,'Player-Force'!$A$3:$K$28,MATCH(X46,_xlfn._xlws.FILTER('Player-Force'!$A$3:$K$28,'Player-Force'!$A$3:$A$28=P46),0)+3,0)=0,"",VLOOKUP(P46,'Player-Force'!$A$3:$K$28,MATCH(X46,_xlfn._xlws.FILTER('Player-Force'!$A$3:$K$28,'Player-Force'!$A$3:$A$28=P46),0)+3,0)))</f>
        <v/>
      </c>
      <c r="AE46" t="str">
        <f t="shared" si="2"/>
        <v>Infantry</v>
      </c>
      <c r="AF46" t="str">
        <f t="shared" si="3"/>
        <v>Infantry</v>
      </c>
    </row>
    <row r="47" spans="1:32" x14ac:dyDescent="0.25">
      <c r="A47">
        <v>2</v>
      </c>
      <c r="B47">
        <v>7</v>
      </c>
      <c r="C47" t="str">
        <v>dogfight</v>
      </c>
      <c r="D47" t="str">
        <v>b</v>
      </c>
      <c r="E47" t="str">
        <v>attack_repelled</v>
      </c>
      <c r="F47" t="str">
        <v>a</v>
      </c>
      <c r="G47">
        <v>0</v>
      </c>
      <c r="H47" t="str">
        <v>m175sbdxx1r2zq5jn6mdscsexx86gzn2</v>
      </c>
      <c r="I47" t="str">
        <v>Laurence Kettle</v>
      </c>
      <c r="J47" t="str">
        <v>defend</v>
      </c>
      <c r="K47">
        <v>3</v>
      </c>
      <c r="L47">
        <v>6</v>
      </c>
      <c r="M47" t="str">
        <v>defender</v>
      </c>
      <c r="N47">
        <v>0</v>
      </c>
      <c r="O47" t="str">
        <v>m170dsrb9rxwb0p5r0shy7mdyd81v652</v>
      </c>
      <c r="P47" t="str">
        <v>Peter McCarroll</v>
      </c>
      <c r="Q47" t="str">
        <v>attack</v>
      </c>
      <c r="R47">
        <v>3</v>
      </c>
      <c r="S47">
        <v>3</v>
      </c>
      <c r="T47" t="str">
        <v>attacker</v>
      </c>
      <c r="U47" t="str">
        <v>Primary Allies</v>
      </c>
      <c r="V47" t="str">
        <v>Primary Allies</v>
      </c>
      <c r="W47" t="str">
        <f>IF(OR(OR(U47="Allies",U47="Axis"),AND(NOT(ISERROR(SEARCH("Primary",U47))),ISERROR(SEARCH(V47,U47)))),VLOOKUP(I47,'Player-Force'!$A$3:$K$28,4,0),IF(U47=V47,AC47,VLOOKUP(I47,'Player-Force'!$A$3:$K$28,8,0)))</f>
        <v>German: Bulge</v>
      </c>
      <c r="X47" t="str">
        <f>IF(OR(OR(V47="Allies",V47="Axis"),AND(NOT(ISERROR(SEARCH("Primary",V47))),ISERROR(SEARCH(U47,V47)))),VLOOKUP(P47,'Player-Force'!$A$3:$K$28,4,0),IF(V47=U47,AD47,VLOOKUP(P47,'Player-Force'!$A$3:$K$28,8,0)))</f>
        <v>American: Bulge</v>
      </c>
      <c r="Y47" t="str" cm="1">
        <f t="array" ref="Y47">IF(W47="NOT RECORDED","",IF(VLOOKUP(I47,'Player-Force'!$A$3:$K$28,MATCH(W47,_xlfn._xlws.FILTER('Player-Force'!$A$3:$K$28,'Player-Force'!$A$3:$A$28=I47),0)+2,0)=0,"",VLOOKUP(I47,'Player-Force'!$A$3:$K$28,MATCH(W47,_xlfn._xlws.FILTER('Player-Force'!$A$3:$K$28,'Player-Force'!$A$3:$A$28=I47),0)+2,0)))</f>
        <v>Volksgrenadier Company</v>
      </c>
      <c r="Z47" t="str" cm="1">
        <f t="array" ref="Z47">IF(X47="NOT RECORDED","",IF(VLOOKUP(P47,'Player-Force'!$A$3:$K$28,MATCH(X47,_xlfn._xlws.FILTER('Player-Force'!$A$3:$K$28,'Player-Force'!$A$3:$A$28=P47),0)+2,0)=0,"",VLOOKUP(P47,'Player-Force'!$A$3:$K$28,MATCH(X47,_xlfn._xlws.FILTER('Player-Force'!$A$3:$K$28,'Player-Force'!$A$3:$A$28=P47),0)+2,0)))</f>
        <v>Volksgrenadier Company</v>
      </c>
      <c r="AA47" t="str" cm="1">
        <f t="array" ref="AA47">IF(W47="NOT RECORDED","",IF(VLOOKUP(I47,'Player-Force'!$A$3:$K$28,MATCH(W47,_xlfn._xlws.FILTER('Player-Force'!$A$3:$K$28,'Player-Force'!$A$3:$A$28=I47),0)+3,0)=0,"",VLOOKUP(I47,'Player-Force'!$A$3:$K$28,MATCH(W47,_xlfn._xlws.FILTER('Player-Force'!$A$3:$K$28,'Player-Force'!$A$3:$A$28=I47),0)+3,0)))</f>
        <v/>
      </c>
      <c r="AB47" t="str" cm="1">
        <f t="array" ref="AB47">IF(X47="NOT RECORDED","",IF(VLOOKUP(P47,'Player-Force'!$A$3:$K$28,MATCH(X47,_xlfn._xlws.FILTER('Player-Force'!$A$3:$K$28,'Player-Force'!$A$3:$A$28=P47),0)+3,0)=0,"",VLOOKUP(P47,'Player-Force'!$A$3:$K$28,MATCH(X47,_xlfn._xlws.FILTER('Player-Force'!$A$3:$K$28,'Player-Force'!$A$3:$A$28=P47),0)+3,0)))</f>
        <v/>
      </c>
      <c r="AC47" t="s">
        <v>117</v>
      </c>
      <c r="AD47" t="s">
        <v>125</v>
      </c>
      <c r="AE47" t="str">
        <f t="shared" si="2"/>
        <v>Infantry</v>
      </c>
      <c r="AF47" t="str">
        <f t="shared" si="3"/>
        <v>Tank</v>
      </c>
    </row>
    <row r="48" spans="1:32" x14ac:dyDescent="0.25">
      <c r="A48">
        <v>2</v>
      </c>
      <c r="B48">
        <v>7</v>
      </c>
      <c r="C48" t="str">
        <v>dogfight</v>
      </c>
      <c r="D48" t="str">
        <v>a</v>
      </c>
      <c r="E48" t="str">
        <v>force_broken</v>
      </c>
      <c r="F48" t="str">
        <v>a</v>
      </c>
      <c r="G48">
        <v>0</v>
      </c>
      <c r="H48" t="str">
        <v>m17abhk4dqzbh2gjfcxwx3bars84jngw</v>
      </c>
      <c r="I48" t="str">
        <v>Lucas Helaine-Watson</v>
      </c>
      <c r="J48" t="str">
        <v>attack</v>
      </c>
      <c r="K48">
        <v>2</v>
      </c>
      <c r="L48">
        <v>7</v>
      </c>
      <c r="M48" t="str">
        <v>attacker</v>
      </c>
      <c r="N48">
        <v>0</v>
      </c>
      <c r="O48" t="str">
        <v>m172prnn7ee4eavt3sasg4xf397nazj5</v>
      </c>
      <c r="P48" t="str">
        <v>Rex King</v>
      </c>
      <c r="Q48" t="str">
        <v>defend</v>
      </c>
      <c r="R48">
        <v>3</v>
      </c>
      <c r="S48">
        <v>2</v>
      </c>
      <c r="T48" t="str">
        <v>defender</v>
      </c>
      <c r="U48" t="str">
        <v>Allies</v>
      </c>
      <c r="V48" t="str">
        <v>Primary Axis</v>
      </c>
      <c r="W48" t="str">
        <f>IF(OR(OR(U48="Allies",U48="Axis"),AND(NOT(ISERROR(SEARCH("Primary",U48))),ISERROR(SEARCH(V48,U48)))),VLOOKUP(I48,'Player-Force'!$A$3:$K$28,4,0),IF(U48=V48,AC48,VLOOKUP(I48,'Player-Force'!$A$3:$K$28,8,0)))</f>
        <v>Soviet: Berlin</v>
      </c>
      <c r="X48" t="str">
        <f>IF(OR(OR(V48="Allies",V48="Axis"),AND(NOT(ISERROR(SEARCH("Primary",V48))),ISERROR(SEARCH(U48,V48)))),VLOOKUP(P48,'Player-Force'!$A$3:$K$28,4,0),IF(V48=U48,AD48,VLOOKUP(P48,'Player-Force'!$A$3:$K$28,8,0)))</f>
        <v>German: Berlin</v>
      </c>
      <c r="Y48" t="str" cm="1">
        <f t="array" ref="Y48">IF(W48="NOT RECORDED","",IF(VLOOKUP(I48,'Player-Force'!$A$3:$K$28,MATCH(W48,_xlfn._xlws.FILTER('Player-Force'!$A$3:$K$28,'Player-Force'!$A$3:$A$28=I48),0)+2,0)=0,"",VLOOKUP(I48,'Player-Force'!$A$3:$K$28,MATCH(W48,_xlfn._xlws.FILTER('Player-Force'!$A$3:$K$28,'Player-Force'!$A$3:$A$28=I48),0)+2,0)))</f>
        <v>Red Banner Rifle Regiment</v>
      </c>
      <c r="Z48" t="str" cm="1">
        <f t="array" ref="Z48">IF(X48="NOT RECORDED","",IF(VLOOKUP(P48,'Player-Force'!$A$3:$K$28,MATCH(X48,_xlfn._xlws.FILTER('Player-Force'!$A$3:$K$28,'Player-Force'!$A$3:$A$28=P48),0)+2,0)=0,"",VLOOKUP(P48,'Player-Force'!$A$3:$K$28,MATCH(X48,_xlfn._xlws.FILTER('Player-Force'!$A$3:$K$28,'Player-Force'!$A$3:$A$28=P48),0)+2,0)))</f>
        <v>Berlin Battle Group</v>
      </c>
      <c r="AA48" t="str" cm="1">
        <f t="array" ref="AA48">IF(W48="NOT RECORDED","",IF(VLOOKUP(I48,'Player-Force'!$A$3:$K$28,MATCH(W48,_xlfn._xlws.FILTER('Player-Force'!$A$3:$K$28,'Player-Force'!$A$3:$A$28=I48),0)+3,0)=0,"",VLOOKUP(I48,'Player-Force'!$A$3:$K$28,MATCH(W48,_xlfn._xlws.FILTER('Player-Force'!$A$3:$K$28,'Player-Force'!$A$3:$A$28=I48),0)+3,0)))</f>
        <v/>
      </c>
      <c r="AB48" t="str" cm="1">
        <f t="array" ref="AB48">IF(X48="NOT RECORDED","",IF(VLOOKUP(P48,'Player-Force'!$A$3:$K$28,MATCH(X48,_xlfn._xlws.FILTER('Player-Force'!$A$3:$K$28,'Player-Force'!$A$3:$A$28=P48),0)+3,0)=0,"",VLOOKUP(P48,'Player-Force'!$A$3:$K$28,MATCH(X48,_xlfn._xlws.FILTER('Player-Force'!$A$3:$K$28,'Player-Force'!$A$3:$A$28=P48),0)+3,0)))</f>
        <v/>
      </c>
      <c r="AE48" t="str">
        <f t="shared" si="2"/>
        <v>Infantry</v>
      </c>
      <c r="AF48" t="str">
        <f t="shared" si="3"/>
        <v>Infantry</v>
      </c>
    </row>
    <row r="49" spans="1:32" x14ac:dyDescent="0.25">
      <c r="A49">
        <v>2</v>
      </c>
      <c r="B49">
        <v>12</v>
      </c>
      <c r="C49" t="str">
        <v>dust_up</v>
      </c>
      <c r="D49" t="str">
        <v>a</v>
      </c>
      <c r="E49" t="str">
        <v>force_broken</v>
      </c>
      <c r="F49" t="str">
        <v>a</v>
      </c>
      <c r="G49">
        <v>0</v>
      </c>
      <c r="H49" t="str">
        <v>m176j9ge6ss0s6pqjxrr1cpnjh86c2c8</v>
      </c>
      <c r="I49" t="str">
        <v>Jordan Williamson</v>
      </c>
      <c r="J49" t="str">
        <v>maneuver</v>
      </c>
      <c r="K49">
        <v>3</v>
      </c>
      <c r="L49">
        <v>6</v>
      </c>
      <c r="M49" t="str">
        <v>defender</v>
      </c>
      <c r="N49">
        <v>0</v>
      </c>
      <c r="O49" t="str">
        <v>m17313rf66ezwenk8k3rjjzkgs86n1ws</v>
      </c>
      <c r="P49" t="str">
        <v>Mark Taylor</v>
      </c>
      <c r="Q49" t="str">
        <v>maneuver</v>
      </c>
      <c r="R49">
        <v>8</v>
      </c>
      <c r="S49">
        <v>3</v>
      </c>
      <c r="T49" t="str">
        <v>attacker</v>
      </c>
      <c r="U49" t="str">
        <v>Allies</v>
      </c>
      <c r="V49" t="str">
        <v>Axis</v>
      </c>
      <c r="W49" t="str">
        <f>IF(OR(OR(U49="Allies",U49="Axis"),AND(NOT(ISERROR(SEARCH("Primary",U49))),ISERROR(SEARCH(V49,U49)))),VLOOKUP(I49,'Player-Force'!$A$3:$K$28,4,0),IF(U49=V49,AC49,VLOOKUP(I49,'Player-Force'!$A$3:$K$28,8,0)))</f>
        <v>Soviet: Berlin</v>
      </c>
      <c r="X49" t="str">
        <f>IF(OR(OR(V49="Allies",V49="Axis"),AND(NOT(ISERROR(SEARCH("Primary",V49))),ISERROR(SEARCH(U49,V49)))),VLOOKUP(P49,'Player-Force'!$A$3:$K$28,4,0),IF(V49=U49,AD49,VLOOKUP(P49,'Player-Force'!$A$3:$K$28,8,0)))</f>
        <v>German: Berlin</v>
      </c>
      <c r="Y49" t="str" cm="1">
        <f t="array" ref="Y49">IF(W49="NOT RECORDED","",IF(VLOOKUP(I49,'Player-Force'!$A$3:$K$28,MATCH(W49,_xlfn._xlws.FILTER('Player-Force'!$A$3:$K$28,'Player-Force'!$A$3:$A$28=I49),0)+2,0)=0,"",VLOOKUP(I49,'Player-Force'!$A$3:$K$28,MATCH(W49,_xlfn._xlws.FILTER('Player-Force'!$A$3:$K$28,'Player-Force'!$A$3:$A$28=I49),0)+2,0)))</f>
        <v>Hero IS-2 (Late) Guards Heavy Tank Regiment</v>
      </c>
      <c r="Z49" t="str" cm="1">
        <f t="array" ref="Z49">IF(X49="NOT RECORDED","",IF(VLOOKUP(P49,'Player-Force'!$A$3:$K$28,MATCH(X49,_xlfn._xlws.FILTER('Player-Force'!$A$3:$K$28,'Player-Force'!$A$3:$A$28=P49),0)+2,0)=0,"",VLOOKUP(P49,'Player-Force'!$A$3:$K$28,MATCH(X49,_xlfn._xlws.FILTER('Player-Force'!$A$3:$K$28,'Player-Force'!$A$3:$A$28=P49),0)+2,0)))</f>
        <v>Panzer Battle Group</v>
      </c>
      <c r="AA49" t="str" cm="1">
        <f t="array" ref="AA49">IF(W49="NOT RECORDED","",IF(VLOOKUP(I49,'Player-Force'!$A$3:$K$28,MATCH(W49,_xlfn._xlws.FILTER('Player-Force'!$A$3:$K$28,'Player-Force'!$A$3:$A$28=I49),0)+3,0)=0,"",VLOOKUP(I49,'Player-Force'!$A$3:$K$28,MATCH(W49,_xlfn._xlws.FILTER('Player-Force'!$A$3:$K$28,'Player-Force'!$A$3:$A$28=I49),0)+3,0)))</f>
        <v/>
      </c>
      <c r="AB49" t="str" cm="1">
        <f t="array" ref="AB49">IF(X49="NOT RECORDED","",IF(VLOOKUP(P49,'Player-Force'!$A$3:$K$28,MATCH(X49,_xlfn._xlws.FILTER('Player-Force'!$A$3:$K$28,'Player-Force'!$A$3:$A$28=P49),0)+3,0)=0,"",VLOOKUP(P49,'Player-Force'!$A$3:$K$28,MATCH(X49,_xlfn._xlws.FILTER('Player-Force'!$A$3:$K$28,'Player-Force'!$A$3:$A$28=P49),0)+3,0)))</f>
        <v>Berlin Battle Group</v>
      </c>
      <c r="AE49" t="str">
        <f t="shared" si="2"/>
        <v>Tank</v>
      </c>
      <c r="AF49" t="str">
        <f t="shared" si="3"/>
        <v>Combined Tank/Infantry</v>
      </c>
    </row>
    <row r="50" spans="1:32" x14ac:dyDescent="0.25">
      <c r="A50">
        <v>2</v>
      </c>
      <c r="B50">
        <v>6</v>
      </c>
      <c r="C50" t="str">
        <v>counterstrike</v>
      </c>
      <c r="D50" t="str">
        <v>a</v>
      </c>
      <c r="E50" t="str">
        <v>attack_repelled</v>
      </c>
      <c r="F50" t="str">
        <v>a</v>
      </c>
      <c r="G50">
        <v>0</v>
      </c>
      <c r="H50" t="str">
        <v>m170ydpp6ytmfbyvamt2pdxme181gf8t</v>
      </c>
      <c r="I50" t="str">
        <v>Tom Dudley</v>
      </c>
      <c r="J50" t="str">
        <v>maneuver</v>
      </c>
      <c r="K50">
        <v>1</v>
      </c>
      <c r="L50">
        <v>8</v>
      </c>
      <c r="M50" t="str">
        <v>defender</v>
      </c>
      <c r="N50">
        <v>0</v>
      </c>
      <c r="O50" t="str">
        <v>m1763d5xv5w06g0p77d794fths7k938v</v>
      </c>
      <c r="P50" t="str">
        <v>Åukasz Kur</v>
      </c>
      <c r="Q50" t="str">
        <v>attack</v>
      </c>
      <c r="R50">
        <v>3</v>
      </c>
      <c r="S50">
        <v>1</v>
      </c>
      <c r="T50" t="str">
        <v>attacker</v>
      </c>
      <c r="U50" t="str">
        <v>Allies</v>
      </c>
      <c r="V50" t="str">
        <v>Axis</v>
      </c>
      <c r="W50" t="str">
        <f>IF(OR(OR(U50="Allies",U50="Axis"),AND(NOT(ISERROR(SEARCH("Primary",U50))),ISERROR(SEARCH(V50,U50)))),VLOOKUP(I50,'Player-Force'!$A$3:$K$28,4,0),IF(U50=V50,AC50,VLOOKUP(I50,'Player-Force'!$A$3:$K$28,8,0)))</f>
        <v>American: Bulge</v>
      </c>
      <c r="X50" t="str">
        <f>IF(OR(OR(V50="Allies",V50="Axis"),AND(NOT(ISERROR(SEARCH("Primary",V50))),ISERROR(SEARCH(U50,V50)))),VLOOKUP(P50,'Player-Force'!$A$3:$K$28,4,0),IF(V50=U50,AD50,VLOOKUP(P50,'Player-Force'!$A$3:$K$28,8,0)))</f>
        <v>German: Bulge</v>
      </c>
      <c r="Y50" t="str" cm="1">
        <f t="array" ref="Y50">IF(W50="NOT RECORDED","",IF(VLOOKUP(I50,'Player-Force'!$A$3:$K$28,MATCH(W50,_xlfn._xlws.FILTER('Player-Force'!$A$3:$K$28,'Player-Force'!$A$3:$A$28=I50),0)+2,0)=0,"",VLOOKUP(I50,'Player-Force'!$A$3:$K$28,MATCH(W50,_xlfn._xlws.FILTER('Player-Force'!$A$3:$K$28,'Player-Force'!$A$3:$A$28=I50),0)+2,0)))</f>
        <v>Veteran M4 Sherman (Late) Tank Company</v>
      </c>
      <c r="Z50" t="str" cm="1">
        <f t="array" ref="Z50">IF(X50="NOT RECORDED","",IF(VLOOKUP(P50,'Player-Force'!$A$3:$K$28,MATCH(X50,_xlfn._xlws.FILTER('Player-Force'!$A$3:$K$28,'Player-Force'!$A$3:$A$28=P50),0)+2,0)=0,"",VLOOKUP(P50,'Player-Force'!$A$3:$K$28,MATCH(X50,_xlfn._xlws.FILTER('Player-Force'!$A$3:$K$28,'Player-Force'!$A$3:$A$28=P50),0)+2,0)))</f>
        <v>Brigade Armoured Assault Company</v>
      </c>
      <c r="AA50" t="str" cm="1">
        <f t="array" ref="AA50">IF(W50="NOT RECORDED","",IF(VLOOKUP(I50,'Player-Force'!$A$3:$K$28,MATCH(W50,_xlfn._xlws.FILTER('Player-Force'!$A$3:$K$28,'Player-Force'!$A$3:$A$28=I50),0)+3,0)=0,"",VLOOKUP(I50,'Player-Force'!$A$3:$K$28,MATCH(W50,_xlfn._xlws.FILTER('Player-Force'!$A$3:$K$28,'Player-Force'!$A$3:$A$28=I50),0)+3,0)))</f>
        <v>Battle Weary Rifle Company</v>
      </c>
      <c r="AB50" t="str" cm="1">
        <f t="array" ref="AB50">IF(X50="NOT RECORDED","",IF(VLOOKUP(P50,'Player-Force'!$A$3:$K$28,MATCH(X50,_xlfn._xlws.FILTER('Player-Force'!$A$3:$K$28,'Player-Force'!$A$3:$A$28=P50),0)+3,0)=0,"",VLOOKUP(P50,'Player-Force'!$A$3:$K$28,MATCH(X50,_xlfn._xlws.FILTER('Player-Force'!$A$3:$K$28,'Player-Force'!$A$3:$A$28=P50),0)+3,0)))</f>
        <v/>
      </c>
      <c r="AE50" t="str">
        <f t="shared" si="2"/>
        <v>Combined Tank/Infantry</v>
      </c>
      <c r="AF50" t="str">
        <f t="shared" si="3"/>
        <v>Mechanised Infantry</v>
      </c>
    </row>
    <row r="51" spans="1:32" x14ac:dyDescent="0.25">
      <c r="A51">
        <v>2</v>
      </c>
      <c r="B51">
        <v>4</v>
      </c>
      <c r="C51" t="str">
        <v>counterattack</v>
      </c>
      <c r="D51" t="str">
        <v>b</v>
      </c>
      <c r="E51" t="str">
        <v>attack_repelled</v>
      </c>
      <c r="F51" t="str">
        <v>a</v>
      </c>
      <c r="G51">
        <v>0</v>
      </c>
      <c r="H51" t="str">
        <v>m17c62q7r7gvzy8sta4yvpsy7n7nrqpc</v>
      </c>
      <c r="I51" t="str">
        <v>Simon Peyton</v>
      </c>
      <c r="J51" t="str">
        <v>maneuver</v>
      </c>
      <c r="K51">
        <v>2</v>
      </c>
      <c r="L51">
        <v>7</v>
      </c>
      <c r="M51" t="str">
        <v>defender</v>
      </c>
      <c r="N51">
        <v>0</v>
      </c>
      <c r="O51" t="str">
        <v>m176kt9se0tm1y2dxtkqkthwxd86tzsv</v>
      </c>
      <c r="P51" t="str">
        <v>Leo Humphreys</v>
      </c>
      <c r="Q51" t="str">
        <v>attack</v>
      </c>
      <c r="R51">
        <v>2</v>
      </c>
      <c r="S51">
        <v>2</v>
      </c>
      <c r="T51" t="str">
        <v>attacker</v>
      </c>
      <c r="U51" t="str">
        <v>Axis</v>
      </c>
      <c r="V51" t="str">
        <v>Allies</v>
      </c>
      <c r="W51" t="str">
        <f>IF(OR(OR(U51="Allies",U51="Axis"),AND(NOT(ISERROR(SEARCH("Primary",U51))),ISERROR(SEARCH(V51,U51)))),VLOOKUP(I51,'Player-Force'!$A$3:$K$28,4,0),IF(U51=V51,AC51,VLOOKUP(I51,'Player-Force'!$A$3:$K$28,8,0)))</f>
        <v>German: Berlin</v>
      </c>
      <c r="X51" t="str">
        <f>IF(OR(OR(V51="Allies",V51="Axis"),AND(NOT(ISERROR(SEARCH("Primary",V51))),ISERROR(SEARCH(U51,V51)))),VLOOKUP(P51,'Player-Force'!$A$3:$K$28,4,0),IF(V51=U51,AD51,VLOOKUP(P51,'Player-Force'!$A$3:$K$28,8,0)))</f>
        <v>British: D-Day</v>
      </c>
      <c r="Y51" t="str" cm="1">
        <f t="array" ref="Y51">IF(W51="NOT RECORDED","",IF(VLOOKUP(I51,'Player-Force'!$A$3:$K$28,MATCH(W51,_xlfn._xlws.FILTER('Player-Force'!$A$3:$K$28,'Player-Force'!$A$3:$A$28=I51),0)+2,0)=0,"",VLOOKUP(I51,'Player-Force'!$A$3:$K$28,MATCH(W51,_xlfn._xlws.FILTER('Player-Force'!$A$3:$K$28,'Player-Force'!$A$3:$A$28=I51),0)+2,0)))</f>
        <v>Beach Defence Grenadier Company</v>
      </c>
      <c r="Z51" t="str" cm="1">
        <f t="array" ref="Z51">IF(X51="NOT RECORDED","",IF(VLOOKUP(P51,'Player-Force'!$A$3:$K$28,MATCH(X51,_xlfn._xlws.FILTER('Player-Force'!$A$3:$K$28,'Player-Force'!$A$3:$A$28=P51),0)+2,0)=0,"",VLOOKUP(P51,'Player-Force'!$A$3:$K$28,MATCH(X51,_xlfn._xlws.FILTER('Player-Force'!$A$3:$K$28,'Player-Force'!$A$3:$A$28=P51),0)+2,0)))</f>
        <v>Desert Rats Cromwell Armoured Squadron</v>
      </c>
      <c r="AA51" t="str" cm="1">
        <f t="array" ref="AA51">IF(W51="NOT RECORDED","",IF(VLOOKUP(I51,'Player-Force'!$A$3:$K$28,MATCH(W51,_xlfn._xlws.FILTER('Player-Force'!$A$3:$K$28,'Player-Force'!$A$3:$A$28=I51),0)+3,0)=0,"",VLOOKUP(I51,'Player-Force'!$A$3:$K$28,MATCH(W51,_xlfn._xlws.FILTER('Player-Force'!$A$3:$K$28,'Player-Force'!$A$3:$A$28=I51),0)+3,0)))</f>
        <v/>
      </c>
      <c r="AB51" t="str" cm="1">
        <f t="array" ref="AB51">IF(X51="NOT RECORDED","",IF(VLOOKUP(P51,'Player-Force'!$A$3:$K$28,MATCH(X51,_xlfn._xlws.FILTER('Player-Force'!$A$3:$K$28,'Player-Force'!$A$3:$A$28=P51),0)+3,0)=0,"",VLOOKUP(P51,'Player-Force'!$A$3:$K$28,MATCH(X51,_xlfn._xlws.FILTER('Player-Force'!$A$3:$K$28,'Player-Force'!$A$3:$A$28=P51),0)+3,0)))</f>
        <v/>
      </c>
      <c r="AE51" t="str">
        <f t="shared" si="2"/>
        <v>Tank</v>
      </c>
      <c r="AF51" t="str">
        <f t="shared" si="3"/>
        <v>Tank</v>
      </c>
    </row>
    <row r="52" spans="1:32" x14ac:dyDescent="0.25">
      <c r="A52">
        <v>1</v>
      </c>
      <c r="B52">
        <v>4</v>
      </c>
      <c r="C52" t="str">
        <v>outmaneuvered</v>
      </c>
      <c r="D52" t="str">
        <v>b</v>
      </c>
      <c r="E52" t="str">
        <v>time_out</v>
      </c>
      <c r="F52" t="str">
        <v>none</v>
      </c>
      <c r="G52">
        <v>0</v>
      </c>
      <c r="H52" t="str">
        <v>m17avsxcwawj8dkhmc16pz013986hwv4</v>
      </c>
      <c r="I52" t="str">
        <v>Brian Wilson</v>
      </c>
      <c r="J52" t="str">
        <v>maneuver</v>
      </c>
      <c r="K52">
        <v>0</v>
      </c>
      <c r="L52">
        <v>1</v>
      </c>
      <c r="M52" t="str">
        <v>attacker</v>
      </c>
      <c r="N52">
        <v>0</v>
      </c>
      <c r="O52" t="str">
        <v>m17dd8ekynshgzsaqzrqa04dh585wjhe</v>
      </c>
      <c r="P52" t="str">
        <v xml:space="preserve">Jakub WÅ‚osowicz </v>
      </c>
      <c r="Q52" t="str">
        <v>defend</v>
      </c>
      <c r="R52">
        <v>0</v>
      </c>
      <c r="S52">
        <v>1</v>
      </c>
      <c r="T52" t="str">
        <v>defender</v>
      </c>
      <c r="U52" t="str">
        <v>Axis</v>
      </c>
      <c r="V52" t="str">
        <v>Allies</v>
      </c>
      <c r="W52" t="str">
        <f>IF(OR(OR(U52="Allies",U52="Axis"),AND(NOT(ISERROR(SEARCH("Primary",U52))),ISERROR(SEARCH(V52,U52)))),VLOOKUP(I52,'Player-Force'!$A$3:$K$28,4,0),IF(U52=V52,AC52,VLOOKUP(I52,'Player-Force'!$A$3:$K$28,8,0)))</f>
        <v>German: Waffen-SS</v>
      </c>
      <c r="X52" t="str">
        <f>IF(OR(OR(V52="Allies",V52="Axis"),AND(NOT(ISERROR(SEARCH("Primary",V52))),ISERROR(SEARCH(U52,V52)))),VLOOKUP(P52,'Player-Force'!$A$3:$K$28,4,0),IF(V52=U52,AD52,VLOOKUP(P52,'Player-Force'!$A$3:$K$28,8,0)))</f>
        <v>Soviet: Bagration</v>
      </c>
      <c r="Y52" t="str" cm="1">
        <f t="array" ref="Y52">IF(W52="NOT RECORDED","",IF(VLOOKUP(I52,'Player-Force'!$A$3:$K$28,MATCH(W52,_xlfn._xlws.FILTER('Player-Force'!$A$3:$K$28,'Player-Force'!$A$3:$A$28=I52),0)+2,0)=0,"",VLOOKUP(I52,'Player-Force'!$A$3:$K$28,MATCH(W52,_xlfn._xlws.FILTER('Player-Force'!$A$3:$K$28,'Player-Force'!$A$3:$A$28=I52),0)+2,0)))</f>
        <v>StuG SS Tank Company</v>
      </c>
      <c r="Z52" t="str" cm="1">
        <f t="array" ref="Z52">IF(X52="NOT RECORDED","",IF(VLOOKUP(P52,'Player-Force'!$A$3:$K$28,MATCH(X52,_xlfn._xlws.FILTER('Player-Force'!$A$3:$K$28,'Player-Force'!$A$3:$A$28=P52),0)+2,0)=0,"",VLOOKUP(P52,'Player-Force'!$A$3:$K$28,MATCH(X52,_xlfn._xlws.FILTER('Player-Force'!$A$3:$K$28,'Player-Force'!$A$3:$A$28=P52),0)+2,0)))</f>
        <v>Hero Motor Rifle Battalion</v>
      </c>
      <c r="AA52" t="str" cm="1">
        <f t="array" ref="AA52">IF(W52="NOT RECORDED","",IF(VLOOKUP(I52,'Player-Force'!$A$3:$K$28,MATCH(W52,_xlfn._xlws.FILTER('Player-Force'!$A$3:$K$28,'Player-Force'!$A$3:$A$28=I52),0)+3,0)=0,"",VLOOKUP(I52,'Player-Force'!$A$3:$K$28,MATCH(W52,_xlfn._xlws.FILTER('Player-Force'!$A$3:$K$28,'Player-Force'!$A$3:$A$28=I52),0)+3,0)))</f>
        <v/>
      </c>
      <c r="AB52" t="str" cm="1">
        <f t="array" ref="AB52">IF(X52="NOT RECORDED","",IF(VLOOKUP(P52,'Player-Force'!$A$3:$K$28,MATCH(X52,_xlfn._xlws.FILTER('Player-Force'!$A$3:$K$28,'Player-Force'!$A$3:$A$28=P52),0)+3,0)=0,"",VLOOKUP(P52,'Player-Force'!$A$3:$K$28,MATCH(X52,_xlfn._xlws.FILTER('Player-Force'!$A$3:$K$28,'Player-Force'!$A$3:$A$28=P52),0)+3,0)))</f>
        <v/>
      </c>
      <c r="AE52" t="str">
        <f t="shared" si="2"/>
        <v>Tank</v>
      </c>
      <c r="AF52" t="str">
        <f t="shared" si="3"/>
        <v>Infantry</v>
      </c>
    </row>
    <row r="53" spans="1:32" x14ac:dyDescent="0.25">
      <c r="A53">
        <v>1</v>
      </c>
      <c r="B53">
        <v>8</v>
      </c>
      <c r="C53" t="str">
        <v>covering_force</v>
      </c>
      <c r="D53" t="str">
        <v>b</v>
      </c>
      <c r="E53" t="str">
        <v>attack_repelled</v>
      </c>
      <c r="F53" t="str">
        <v>a</v>
      </c>
      <c r="G53">
        <v>0</v>
      </c>
      <c r="H53" t="str">
        <v>m1727vbteqpkwbc781rz8rw0397kqy2a</v>
      </c>
      <c r="I53" t="str">
        <v>Jacopo Sem</v>
      </c>
      <c r="J53" t="str">
        <v>defend</v>
      </c>
      <c r="K53">
        <v>3</v>
      </c>
      <c r="L53">
        <v>6</v>
      </c>
      <c r="M53" t="str">
        <v>defender</v>
      </c>
      <c r="N53">
        <v>0</v>
      </c>
      <c r="O53" t="str">
        <v>m176j9ge6ss0s6pqjxrr1cpnjh86c2c8</v>
      </c>
      <c r="P53" t="str">
        <v>Jordan Williamson</v>
      </c>
      <c r="Q53" t="str">
        <v>attack</v>
      </c>
      <c r="R53">
        <v>3</v>
      </c>
      <c r="S53">
        <v>3</v>
      </c>
      <c r="T53" t="str">
        <v>attacker</v>
      </c>
      <c r="U53" t="str">
        <v>Axis</v>
      </c>
      <c r="V53" t="str">
        <v>Allies</v>
      </c>
      <c r="W53" t="str">
        <f>IF(OR(OR(U53="Allies",U53="Axis"),AND(NOT(ISERROR(SEARCH("Primary",U53))),ISERROR(SEARCH(V53,U53)))),VLOOKUP(I53,'Player-Force'!$A$3:$K$28,4,0),IF(U53=V53,AC53,VLOOKUP(I53,'Player-Force'!$A$3:$K$28,8,0)))</f>
        <v>German: Berlin</v>
      </c>
      <c r="X53" t="str">
        <f>IF(OR(OR(V53="Allies",V53="Axis"),AND(NOT(ISERROR(SEARCH("Primary",V53))),ISERROR(SEARCH(U53,V53)))),VLOOKUP(P53,'Player-Force'!$A$3:$K$28,4,0),IF(V53=U53,AD53,VLOOKUP(P53,'Player-Force'!$A$3:$K$28,8,0)))</f>
        <v>Soviet: Berlin</v>
      </c>
      <c r="Y53" t="str" cm="1">
        <f t="array" ref="Y53">IF(W53="NOT RECORDED","",IF(VLOOKUP(I53,'Player-Force'!$A$3:$K$28,MATCH(W53,_xlfn._xlws.FILTER('Player-Force'!$A$3:$K$28,'Player-Force'!$A$3:$A$28=I53),0)+2,0)=0,"",VLOOKUP(I53,'Player-Force'!$A$3:$K$28,MATCH(W53,_xlfn._xlws.FILTER('Player-Force'!$A$3:$K$28,'Player-Force'!$A$3:$A$28=I53),0)+2,0)))</f>
        <v>Berlin Battle Group</v>
      </c>
      <c r="Z53" t="str" cm="1">
        <f t="array" ref="Z53">IF(X53="NOT RECORDED","",IF(VLOOKUP(P53,'Player-Force'!$A$3:$K$28,MATCH(X53,_xlfn._xlws.FILTER('Player-Force'!$A$3:$K$28,'Player-Force'!$A$3:$A$28=P53),0)+2,0)=0,"",VLOOKUP(P53,'Player-Force'!$A$3:$K$28,MATCH(X53,_xlfn._xlws.FILTER('Player-Force'!$A$3:$K$28,'Player-Force'!$A$3:$A$28=P53),0)+2,0)))</f>
        <v>Hero IS-2 (Late) Guards Heavy Tank Regiment</v>
      </c>
      <c r="AA53" t="str" cm="1">
        <f t="array" ref="AA53">IF(W53="NOT RECORDED","",IF(VLOOKUP(I53,'Player-Force'!$A$3:$K$28,MATCH(W53,_xlfn._xlws.FILTER('Player-Force'!$A$3:$K$28,'Player-Force'!$A$3:$A$28=I53),0)+3,0)=0,"",VLOOKUP(I53,'Player-Force'!$A$3:$K$28,MATCH(W53,_xlfn._xlws.FILTER('Player-Force'!$A$3:$K$28,'Player-Force'!$A$3:$A$28=I53),0)+3,0)))</f>
        <v/>
      </c>
      <c r="AB53" t="str" cm="1">
        <f t="array" ref="AB53">IF(X53="NOT RECORDED","",IF(VLOOKUP(P53,'Player-Force'!$A$3:$K$28,MATCH(X53,_xlfn._xlws.FILTER('Player-Force'!$A$3:$K$28,'Player-Force'!$A$3:$A$28=P53),0)+3,0)=0,"",VLOOKUP(P53,'Player-Force'!$A$3:$K$28,MATCH(X53,_xlfn._xlws.FILTER('Player-Force'!$A$3:$K$28,'Player-Force'!$A$3:$A$28=P53),0)+3,0)))</f>
        <v/>
      </c>
      <c r="AE53" t="str">
        <f t="shared" si="2"/>
        <v>Infantry</v>
      </c>
      <c r="AF53" t="str">
        <f t="shared" si="3"/>
        <v>Tank</v>
      </c>
    </row>
    <row r="54" spans="1:32" x14ac:dyDescent="0.25">
      <c r="A54">
        <v>1</v>
      </c>
      <c r="B54">
        <v>19</v>
      </c>
      <c r="C54" t="str">
        <v>free_for_all</v>
      </c>
      <c r="D54" t="str">
        <v>a</v>
      </c>
      <c r="E54" t="str">
        <v>time_out</v>
      </c>
      <c r="F54" t="str">
        <v>none</v>
      </c>
      <c r="G54">
        <v>0</v>
      </c>
      <c r="H54" t="str">
        <v>m175sbdxx1r2zq5jn6mdscsexx86gzn2</v>
      </c>
      <c r="I54" t="str">
        <v>Laurence Kettle</v>
      </c>
      <c r="J54" t="str">
        <v>attack</v>
      </c>
      <c r="K54">
        <v>3</v>
      </c>
      <c r="L54">
        <v>3</v>
      </c>
      <c r="M54" t="str">
        <v>attacker</v>
      </c>
      <c r="N54">
        <v>0</v>
      </c>
      <c r="O54" t="str">
        <v>m1763d5xv5w06g0p77d794fths7k938v</v>
      </c>
      <c r="P54" t="str">
        <v>Åukasz Kur</v>
      </c>
      <c r="Q54" t="str">
        <v>attack</v>
      </c>
      <c r="R54">
        <v>7</v>
      </c>
      <c r="S54">
        <v>3</v>
      </c>
      <c r="T54" t="str">
        <v>defender</v>
      </c>
      <c r="U54" t="str">
        <v>Primary Allies</v>
      </c>
      <c r="V54" t="str">
        <v>Axis</v>
      </c>
      <c r="W54" t="str">
        <f>IF(OR(OR(U54="Allies",U54="Axis"),AND(NOT(ISERROR(SEARCH("Primary",U54))),ISERROR(SEARCH(V54,U54)))),VLOOKUP(I54,'Player-Force'!$A$3:$K$28,4,0),IF(U54=V54,AC54,VLOOKUP(I54,'Player-Force'!$A$3:$K$28,8,0)))</f>
        <v>Soviet: Bagration</v>
      </c>
      <c r="X54" t="str">
        <f>IF(OR(OR(V54="Allies",V54="Axis"),AND(NOT(ISERROR(SEARCH("Primary",V54))),ISERROR(SEARCH(U54,V54)))),VLOOKUP(P54,'Player-Force'!$A$3:$K$28,4,0),IF(V54=U54,AD54,VLOOKUP(P54,'Player-Force'!$A$3:$K$28,8,0)))</f>
        <v>German: Bulge</v>
      </c>
      <c r="Y54" t="str" cm="1">
        <f t="array" ref="Y54">IF(W54="NOT RECORDED","",IF(VLOOKUP(I54,'Player-Force'!$A$3:$K$28,MATCH(W54,_xlfn._xlws.FILTER('Player-Force'!$A$3:$K$28,'Player-Force'!$A$3:$A$28=I54),0)+2,0)=0,"",VLOOKUP(I54,'Player-Force'!$A$3:$K$28,MATCH(W54,_xlfn._xlws.FILTER('Player-Force'!$A$3:$K$28,'Player-Force'!$A$3:$A$28=I54),0)+2,0)))</f>
        <v>T-34 Tank Battalion</v>
      </c>
      <c r="Z54" t="str" cm="1">
        <f t="array" ref="Z54">IF(X54="NOT RECORDED","",IF(VLOOKUP(P54,'Player-Force'!$A$3:$K$28,MATCH(X54,_xlfn._xlws.FILTER('Player-Force'!$A$3:$K$28,'Player-Force'!$A$3:$A$28=P54),0)+2,0)=0,"",VLOOKUP(P54,'Player-Force'!$A$3:$K$28,MATCH(X54,_xlfn._xlws.FILTER('Player-Force'!$A$3:$K$28,'Player-Force'!$A$3:$A$28=P54),0)+2,0)))</f>
        <v>Brigade Armoured Assault Company</v>
      </c>
      <c r="AA54" t="str" cm="1">
        <f t="array" ref="AA54">IF(W54="NOT RECORDED","",IF(VLOOKUP(I54,'Player-Force'!$A$3:$K$28,MATCH(W54,_xlfn._xlws.FILTER('Player-Force'!$A$3:$K$28,'Player-Force'!$A$3:$A$28=I54),0)+3,0)=0,"",VLOOKUP(I54,'Player-Force'!$A$3:$K$28,MATCH(W54,_xlfn._xlws.FILTER('Player-Force'!$A$3:$K$28,'Player-Force'!$A$3:$A$28=I54),0)+3,0)))</f>
        <v/>
      </c>
      <c r="AB54" t="str" cm="1">
        <f t="array" ref="AB54">IF(X54="NOT RECORDED","",IF(VLOOKUP(P54,'Player-Force'!$A$3:$K$28,MATCH(X54,_xlfn._xlws.FILTER('Player-Force'!$A$3:$K$28,'Player-Force'!$A$3:$A$28=P54),0)+3,0)=0,"",VLOOKUP(P54,'Player-Force'!$A$3:$K$28,MATCH(X54,_xlfn._xlws.FILTER('Player-Force'!$A$3:$K$28,'Player-Force'!$A$3:$A$28=P54),0)+3,0)))</f>
        <v/>
      </c>
      <c r="AE54" t="str">
        <f t="shared" si="2"/>
        <v>Tank</v>
      </c>
      <c r="AF54" t="str">
        <f t="shared" si="3"/>
        <v>Mechanised Infantry</v>
      </c>
    </row>
    <row r="55" spans="1:32" x14ac:dyDescent="0.25">
      <c r="A55">
        <v>1</v>
      </c>
      <c r="B55">
        <v>5</v>
      </c>
      <c r="C55" t="str">
        <v>outmaneuvered</v>
      </c>
      <c r="D55" t="str">
        <v>b</v>
      </c>
      <c r="E55" t="str">
        <v>time_out</v>
      </c>
      <c r="F55" t="str">
        <v>none</v>
      </c>
      <c r="G55">
        <v>0</v>
      </c>
      <c r="H55" t="str">
        <v>m176kt9se0tm1y2dxtkqkthwxd86tzsv</v>
      </c>
      <c r="I55" t="str">
        <v>Leo Humphreys</v>
      </c>
      <c r="J55" t="str">
        <v>maneuver</v>
      </c>
      <c r="K55">
        <v>2</v>
      </c>
      <c r="L55">
        <v>1</v>
      </c>
      <c r="M55" t="str">
        <v>attacker</v>
      </c>
      <c r="N55">
        <v>0</v>
      </c>
      <c r="O55" t="str">
        <v>m170dsrb9rxwb0p5r0shy7mdyd81v652</v>
      </c>
      <c r="P55" t="str">
        <v>Peter McCarroll</v>
      </c>
      <c r="Q55" t="str">
        <v>defend</v>
      </c>
      <c r="R55">
        <v>0</v>
      </c>
      <c r="S55">
        <v>2</v>
      </c>
      <c r="T55" t="str">
        <v>defender</v>
      </c>
      <c r="U55" t="str">
        <v>Allies</v>
      </c>
      <c r="V55" t="str">
        <v>Primary Allies</v>
      </c>
      <c r="W55" t="str">
        <f>IF(OR(OR(U55="Allies",U55="Axis"),AND(NOT(ISERROR(SEARCH("Primary",U55))),ISERROR(SEARCH(V55,U55)))),VLOOKUP(I55,'Player-Force'!$A$3:$K$28,4,0),IF(U55=V55,AC55,VLOOKUP(I55,'Player-Force'!$A$3:$K$28,8,0)))</f>
        <v>British: D-Day</v>
      </c>
      <c r="X55" t="str">
        <f>IF(OR(OR(V55="Allies",V55="Axis"),AND(NOT(ISERROR(SEARCH("Primary",V55))),ISERROR(SEARCH(U55,V55)))),VLOOKUP(P55,'Player-Force'!$A$3:$K$28,4,0),IF(V55=U55,AD55,VLOOKUP(P55,'Player-Force'!$A$3:$K$28,8,0)))</f>
        <v>German: Bulge</v>
      </c>
      <c r="Y55" t="str" cm="1">
        <f t="array" ref="Y55">IF(W55="NOT RECORDED","",IF(VLOOKUP(I55,'Player-Force'!$A$3:$K$28,MATCH(W55,_xlfn._xlws.FILTER('Player-Force'!$A$3:$K$28,'Player-Force'!$A$3:$A$28=I55),0)+2,0)=0,"",VLOOKUP(I55,'Player-Force'!$A$3:$K$28,MATCH(W55,_xlfn._xlws.FILTER('Player-Force'!$A$3:$K$28,'Player-Force'!$A$3:$A$28=I55),0)+2,0)))</f>
        <v>Desert Rats Cromwell Armoured Squadron</v>
      </c>
      <c r="Z55" t="str" cm="1">
        <f t="array" ref="Z55">IF(X55="NOT RECORDED","",IF(VLOOKUP(P55,'Player-Force'!$A$3:$K$28,MATCH(X55,_xlfn._xlws.FILTER('Player-Force'!$A$3:$K$28,'Player-Force'!$A$3:$A$28=P55),0)+2,0)=0,"",VLOOKUP(P55,'Player-Force'!$A$3:$K$28,MATCH(X55,_xlfn._xlws.FILTER('Player-Force'!$A$3:$K$28,'Player-Force'!$A$3:$A$28=P55),0)+2,0)))</f>
        <v>Veteran M4 Sherman (Late) Tank Company</v>
      </c>
      <c r="AA55" t="str" cm="1">
        <f t="array" ref="AA55">IF(W55="NOT RECORDED","",IF(VLOOKUP(I55,'Player-Force'!$A$3:$K$28,MATCH(W55,_xlfn._xlws.FILTER('Player-Force'!$A$3:$K$28,'Player-Force'!$A$3:$A$28=I55),0)+3,0)=0,"",VLOOKUP(I55,'Player-Force'!$A$3:$K$28,MATCH(W55,_xlfn._xlws.FILTER('Player-Force'!$A$3:$K$28,'Player-Force'!$A$3:$A$28=I55),0)+3,0)))</f>
        <v/>
      </c>
      <c r="AB55" t="str" cm="1">
        <f t="array" ref="AB55">IF(X55="NOT RECORDED","",IF(VLOOKUP(P55,'Player-Force'!$A$3:$K$28,MATCH(X55,_xlfn._xlws.FILTER('Player-Force'!$A$3:$K$28,'Player-Force'!$A$3:$A$28=P55),0)+3,0)=0,"",VLOOKUP(P55,'Player-Force'!$A$3:$K$28,MATCH(X55,_xlfn._xlws.FILTER('Player-Force'!$A$3:$K$28,'Player-Force'!$A$3:$A$28=P55),0)+3,0)))</f>
        <v/>
      </c>
      <c r="AE55" t="str">
        <f t="shared" si="2"/>
        <v>Tank</v>
      </c>
      <c r="AF55" t="str">
        <f t="shared" si="3"/>
        <v>Infantry</v>
      </c>
    </row>
    <row r="56" spans="1:32" x14ac:dyDescent="0.25">
      <c r="A56">
        <v>1</v>
      </c>
      <c r="B56">
        <v>7</v>
      </c>
      <c r="C56" t="str">
        <v>covering_force</v>
      </c>
      <c r="D56" t="str">
        <v>b</v>
      </c>
      <c r="E56" t="str">
        <v>attack_repelled</v>
      </c>
      <c r="F56" t="str">
        <v>a</v>
      </c>
      <c r="G56">
        <v>0</v>
      </c>
      <c r="H56" t="str">
        <v>m170ydpp6ytmfbyvamt2pdxme181gf8t</v>
      </c>
      <c r="I56" t="str">
        <v>Tom Dudley</v>
      </c>
      <c r="J56" t="str">
        <v>maneuver</v>
      </c>
      <c r="K56">
        <v>3</v>
      </c>
      <c r="L56">
        <v>6</v>
      </c>
      <c r="M56" t="str">
        <v>defender</v>
      </c>
      <c r="N56">
        <v>0</v>
      </c>
      <c r="O56" t="str">
        <v>m172prnn7ee4eavt3sasg4xf397nazj5</v>
      </c>
      <c r="P56" t="str">
        <v>Rex King</v>
      </c>
      <c r="Q56" t="str">
        <v>attack</v>
      </c>
      <c r="R56">
        <v>2</v>
      </c>
      <c r="S56">
        <v>3</v>
      </c>
      <c r="T56" t="str">
        <v>attacker</v>
      </c>
      <c r="U56" t="str">
        <v>Allies</v>
      </c>
      <c r="V56" t="str">
        <v>Primary Axis</v>
      </c>
      <c r="W56" t="str">
        <f>IF(OR(OR(U56="Allies",U56="Axis"),AND(NOT(ISERROR(SEARCH("Primary",U56))),ISERROR(SEARCH(V56,U56)))),VLOOKUP(I56,'Player-Force'!$A$3:$K$28,4,0),IF(U56=V56,AC56,VLOOKUP(I56,'Player-Force'!$A$3:$K$28,8,0)))</f>
        <v>American: Bulge</v>
      </c>
      <c r="X56" t="str">
        <f>IF(OR(OR(V56="Allies",V56="Axis"),AND(NOT(ISERROR(SEARCH("Primary",V56))),ISERROR(SEARCH(U56,V56)))),VLOOKUP(P56,'Player-Force'!$A$3:$K$28,4,0),IF(V56=U56,AD56,VLOOKUP(P56,'Player-Force'!$A$3:$K$28,8,0)))</f>
        <v>German: Berlin</v>
      </c>
      <c r="Y56" t="str" cm="1">
        <f t="array" ref="Y56">IF(W56="NOT RECORDED","",IF(VLOOKUP(I56,'Player-Force'!$A$3:$K$28,MATCH(W56,_xlfn._xlws.FILTER('Player-Force'!$A$3:$K$28,'Player-Force'!$A$3:$A$28=I56),0)+2,0)=0,"",VLOOKUP(I56,'Player-Force'!$A$3:$K$28,MATCH(W56,_xlfn._xlws.FILTER('Player-Force'!$A$3:$K$28,'Player-Force'!$A$3:$A$28=I56),0)+2,0)))</f>
        <v>Veteran M4 Sherman (Late) Tank Company</v>
      </c>
      <c r="Z56" t="str" cm="1">
        <f t="array" ref="Z56">IF(X56="NOT RECORDED","",IF(VLOOKUP(P56,'Player-Force'!$A$3:$K$28,MATCH(X56,_xlfn._xlws.FILTER('Player-Force'!$A$3:$K$28,'Player-Force'!$A$3:$A$28=P56),0)+2,0)=0,"",VLOOKUP(P56,'Player-Force'!$A$3:$K$28,MATCH(X56,_xlfn._xlws.FILTER('Player-Force'!$A$3:$K$28,'Player-Force'!$A$3:$A$28=P56),0)+2,0)))</f>
        <v>Berlin Battle Group</v>
      </c>
      <c r="AA56" t="str" cm="1">
        <f t="array" ref="AA56">IF(W56="NOT RECORDED","",IF(VLOOKUP(I56,'Player-Force'!$A$3:$K$28,MATCH(W56,_xlfn._xlws.FILTER('Player-Force'!$A$3:$K$28,'Player-Force'!$A$3:$A$28=I56),0)+3,0)=0,"",VLOOKUP(I56,'Player-Force'!$A$3:$K$28,MATCH(W56,_xlfn._xlws.FILTER('Player-Force'!$A$3:$K$28,'Player-Force'!$A$3:$A$28=I56),0)+3,0)))</f>
        <v>Battle Weary Rifle Company</v>
      </c>
      <c r="AB56" t="str" cm="1">
        <f t="array" ref="AB56">IF(X56="NOT RECORDED","",IF(VLOOKUP(P56,'Player-Force'!$A$3:$K$28,MATCH(X56,_xlfn._xlws.FILTER('Player-Force'!$A$3:$K$28,'Player-Force'!$A$3:$A$28=P56),0)+3,0)=0,"",VLOOKUP(P56,'Player-Force'!$A$3:$K$28,MATCH(X56,_xlfn._xlws.FILTER('Player-Force'!$A$3:$K$28,'Player-Force'!$A$3:$A$28=P56),0)+3,0)))</f>
        <v/>
      </c>
      <c r="AE56" t="str">
        <f t="shared" si="2"/>
        <v>Combined Tank/Infantry</v>
      </c>
      <c r="AF56" t="str">
        <f t="shared" si="3"/>
        <v>Infantry</v>
      </c>
    </row>
    <row r="57" spans="1:32" x14ac:dyDescent="0.25">
      <c r="A57">
        <v>1</v>
      </c>
      <c r="B57">
        <v>7</v>
      </c>
      <c r="C57" t="str">
        <v>free_for_all</v>
      </c>
      <c r="D57" t="str">
        <v>a</v>
      </c>
      <c r="E57" t="str">
        <v>objective_taken</v>
      </c>
      <c r="F57" t="str">
        <v>a</v>
      </c>
      <c r="G57">
        <v>0</v>
      </c>
      <c r="H57" t="str">
        <v>m17abhk4dqzbh2gjfcxwx3bars84jngw</v>
      </c>
      <c r="I57" t="str">
        <v>Lucas Helaine-Watson</v>
      </c>
      <c r="J57" t="str">
        <v>attack</v>
      </c>
      <c r="K57">
        <v>4</v>
      </c>
      <c r="L57">
        <v>6</v>
      </c>
      <c r="M57" t="str">
        <v>defender</v>
      </c>
      <c r="N57">
        <v>0</v>
      </c>
      <c r="O57" t="str">
        <v>m17313rf66ezwenk8k3rjjzkgs86n1ws</v>
      </c>
      <c r="P57" t="str">
        <v>Mark Taylor</v>
      </c>
      <c r="Q57" t="str">
        <v>attack</v>
      </c>
      <c r="R57">
        <v>6</v>
      </c>
      <c r="S57">
        <v>3</v>
      </c>
      <c r="T57" t="str">
        <v>attacker</v>
      </c>
      <c r="U57" t="str">
        <v>Allies</v>
      </c>
      <c r="V57" t="str">
        <v>Axis</v>
      </c>
      <c r="W57" t="str">
        <f>IF(OR(OR(U57="Allies",U57="Axis"),AND(NOT(ISERROR(SEARCH("Primary",U57))),ISERROR(SEARCH(V57,U57)))),VLOOKUP(I57,'Player-Force'!$A$3:$K$28,4,0),IF(U57=V57,AC57,VLOOKUP(I57,'Player-Force'!$A$3:$K$28,8,0)))</f>
        <v>Soviet: Berlin</v>
      </c>
      <c r="X57" t="str">
        <f>IF(OR(OR(V57="Allies",V57="Axis"),AND(NOT(ISERROR(SEARCH("Primary",V57))),ISERROR(SEARCH(U57,V57)))),VLOOKUP(P57,'Player-Force'!$A$3:$K$28,4,0),IF(V57=U57,AD57,VLOOKUP(P57,'Player-Force'!$A$3:$K$28,8,0)))</f>
        <v>German: Berlin</v>
      </c>
      <c r="Y57" t="str" cm="1">
        <f t="array" ref="Y57">IF(W57="NOT RECORDED","",IF(VLOOKUP(I57,'Player-Force'!$A$3:$K$28,MATCH(W57,_xlfn._xlws.FILTER('Player-Force'!$A$3:$K$28,'Player-Force'!$A$3:$A$28=I57),0)+2,0)=0,"",VLOOKUP(I57,'Player-Force'!$A$3:$K$28,MATCH(W57,_xlfn._xlws.FILTER('Player-Force'!$A$3:$K$28,'Player-Force'!$A$3:$A$28=I57),0)+2,0)))</f>
        <v>Red Banner Rifle Regiment</v>
      </c>
      <c r="Z57" t="str" cm="1">
        <f t="array" ref="Z57">IF(X57="NOT RECORDED","",IF(VLOOKUP(P57,'Player-Force'!$A$3:$K$28,MATCH(X57,_xlfn._xlws.FILTER('Player-Force'!$A$3:$K$28,'Player-Force'!$A$3:$A$28=P57),0)+2,0)=0,"",VLOOKUP(P57,'Player-Force'!$A$3:$K$28,MATCH(X57,_xlfn._xlws.FILTER('Player-Force'!$A$3:$K$28,'Player-Force'!$A$3:$A$28=P57),0)+2,0)))</f>
        <v>Panzer Battle Group</v>
      </c>
      <c r="AA57" t="str" cm="1">
        <f t="array" ref="AA57">IF(W57="NOT RECORDED","",IF(VLOOKUP(I57,'Player-Force'!$A$3:$K$28,MATCH(W57,_xlfn._xlws.FILTER('Player-Force'!$A$3:$K$28,'Player-Force'!$A$3:$A$28=I57),0)+3,0)=0,"",VLOOKUP(I57,'Player-Force'!$A$3:$K$28,MATCH(W57,_xlfn._xlws.FILTER('Player-Force'!$A$3:$K$28,'Player-Force'!$A$3:$A$28=I57),0)+3,0)))</f>
        <v/>
      </c>
      <c r="AB57" t="str" cm="1">
        <f t="array" ref="AB57">IF(X57="NOT RECORDED","",IF(VLOOKUP(P57,'Player-Force'!$A$3:$K$28,MATCH(X57,_xlfn._xlws.FILTER('Player-Force'!$A$3:$K$28,'Player-Force'!$A$3:$A$28=P57),0)+3,0)=0,"",VLOOKUP(P57,'Player-Force'!$A$3:$K$28,MATCH(X57,_xlfn._xlws.FILTER('Player-Force'!$A$3:$K$28,'Player-Force'!$A$3:$A$28=P57),0)+3,0)))</f>
        <v>Berlin Battle Group</v>
      </c>
      <c r="AE57" t="str">
        <f t="shared" si="2"/>
        <v>Infantry</v>
      </c>
      <c r="AF57" t="str">
        <f t="shared" si="3"/>
        <v>Combined Tank/Infantry</v>
      </c>
    </row>
    <row r="58" spans="1:32" x14ac:dyDescent="0.25">
      <c r="A58">
        <v>1</v>
      </c>
      <c r="B58">
        <v>5</v>
      </c>
      <c r="C58" t="str">
        <v>outmaneuvered</v>
      </c>
      <c r="D58" t="str">
        <v>a</v>
      </c>
      <c r="E58" t="str">
        <v>objective_taken</v>
      </c>
      <c r="F58" t="str">
        <v>b</v>
      </c>
      <c r="G58">
        <v>0</v>
      </c>
      <c r="H58" t="str">
        <v>m178pgzek563414k5ppqxnqfph85kmqk</v>
      </c>
      <c r="I58" t="str">
        <v>Chris Stone</v>
      </c>
      <c r="J58" t="str">
        <v>defend</v>
      </c>
      <c r="K58">
        <v>4</v>
      </c>
      <c r="L58">
        <v>1</v>
      </c>
      <c r="M58" t="str">
        <v>defender</v>
      </c>
      <c r="N58">
        <v>0</v>
      </c>
      <c r="O58" t="str">
        <v>m174j7e9f6tmr5tvp1018ymte1864gw1</v>
      </c>
      <c r="P58" t="str">
        <v>Frank Keast</v>
      </c>
      <c r="Q58" t="str">
        <v>maneuver</v>
      </c>
      <c r="R58">
        <v>1</v>
      </c>
      <c r="S58">
        <v>8</v>
      </c>
      <c r="T58" t="str">
        <v>attacker</v>
      </c>
      <c r="U58" t="str">
        <v>Axis</v>
      </c>
      <c r="V58" t="str">
        <v>Primary Allies</v>
      </c>
      <c r="W58" t="str">
        <f>IF(OR(OR(U58="Allies",U58="Axis"),AND(NOT(ISERROR(SEARCH("Primary",U58))),ISERROR(SEARCH(V58,U58)))),VLOOKUP(I58,'Player-Force'!$A$3:$K$28,4,0),IF(U58=V58,AC58,VLOOKUP(I58,'Player-Force'!$A$3:$K$28,8,0)))</f>
        <v>German: Bulge</v>
      </c>
      <c r="X58" t="str">
        <f>IF(OR(OR(V58="Allies",V58="Axis"),AND(NOT(ISERROR(SEARCH("Primary",V58))),ISERROR(SEARCH(U58,V58)))),VLOOKUP(P58,'Player-Force'!$A$3:$K$28,4,0),IF(V58=U58,AD58,VLOOKUP(P58,'Player-Force'!$A$3:$K$28,8,0)))</f>
        <v>Romanian: Bagration (Allies)</v>
      </c>
      <c r="Y58" t="str" cm="1">
        <f t="array" ref="Y58">IF(W58="NOT RECORDED","",IF(VLOOKUP(I58,'Player-Force'!$A$3:$K$28,MATCH(W58,_xlfn._xlws.FILTER('Player-Force'!$A$3:$K$28,'Player-Force'!$A$3:$A$28=I58),0)+2,0)=0,"",VLOOKUP(I58,'Player-Force'!$A$3:$K$28,MATCH(W58,_xlfn._xlws.FILTER('Player-Force'!$A$3:$K$28,'Player-Force'!$A$3:$A$28=I58),0)+2,0)))</f>
        <v>Volksgrenadier Company</v>
      </c>
      <c r="Z58" t="str" cm="1">
        <f t="array" ref="Z58">IF(X58="NOT RECORDED","",IF(VLOOKUP(P58,'Player-Force'!$A$3:$K$28,MATCH(X58,_xlfn._xlws.FILTER('Player-Force'!$A$3:$K$28,'Player-Force'!$A$3:$A$28=P58),0)+2,0)=0,"",VLOOKUP(P58,'Player-Force'!$A$3:$K$28,MATCH(X58,_xlfn._xlws.FILTER('Player-Force'!$A$3:$K$28,'Player-Force'!$A$3:$A$28=P58),0)+2,0)))</f>
        <v>Motorised Rifle Company</v>
      </c>
      <c r="AA58" t="str" cm="1">
        <f t="array" ref="AA58">IF(W58="NOT RECORDED","",IF(VLOOKUP(I58,'Player-Force'!$A$3:$K$28,MATCH(W58,_xlfn._xlws.FILTER('Player-Force'!$A$3:$K$28,'Player-Force'!$A$3:$A$28=I58),0)+3,0)=0,"",VLOOKUP(I58,'Player-Force'!$A$3:$K$28,MATCH(W58,_xlfn._xlws.FILTER('Player-Force'!$A$3:$K$28,'Player-Force'!$A$3:$A$28=I58),0)+3,0)))</f>
        <v/>
      </c>
      <c r="AB58" t="str" cm="1">
        <f t="array" ref="AB58">IF(X58="NOT RECORDED","",IF(VLOOKUP(P58,'Player-Force'!$A$3:$K$28,MATCH(X58,_xlfn._xlws.FILTER('Player-Force'!$A$3:$K$28,'Player-Force'!$A$3:$A$28=P58),0)+3,0)=0,"",VLOOKUP(P58,'Player-Force'!$A$3:$K$28,MATCH(X58,_xlfn._xlws.FILTER('Player-Force'!$A$3:$K$28,'Player-Force'!$A$3:$A$28=P58),0)+3,0)))</f>
        <v>Hero T-34 (85mm) Tank Battalion (Allied Formation)</v>
      </c>
      <c r="AE58" t="str">
        <f t="shared" si="2"/>
        <v>Infantry</v>
      </c>
      <c r="AF58" t="str">
        <f t="shared" si="3"/>
        <v>Combined Tank/Infantry</v>
      </c>
    </row>
    <row r="59" spans="1:32" x14ac:dyDescent="0.25">
      <c r="A59">
        <v>1</v>
      </c>
      <c r="B59">
        <v>3</v>
      </c>
      <c r="C59" t="str">
        <v>free_for_all</v>
      </c>
      <c r="D59" t="str">
        <v>b</v>
      </c>
      <c r="E59" t="str">
        <v>time_out</v>
      </c>
      <c r="F59" t="str">
        <v>none</v>
      </c>
      <c r="G59">
        <v>0</v>
      </c>
      <c r="H59" t="str">
        <v>m1741jc3ysnb87stgxxpfx159s7qjzs9</v>
      </c>
      <c r="I59" t="str">
        <v>Gareth Lewis</v>
      </c>
      <c r="J59" t="str">
        <v>defend</v>
      </c>
      <c r="K59">
        <v>0</v>
      </c>
      <c r="L59">
        <v>1</v>
      </c>
      <c r="M59" t="str">
        <v>defender</v>
      </c>
      <c r="N59">
        <v>0</v>
      </c>
      <c r="O59" t="str">
        <v>m17dvz8k468ssw64qe57e65y9186rwt8</v>
      </c>
      <c r="P59" t="str">
        <v>Keith Martin-Smith</v>
      </c>
      <c r="Q59" t="str">
        <v>defend</v>
      </c>
      <c r="R59">
        <v>1</v>
      </c>
      <c r="S59">
        <v>1</v>
      </c>
      <c r="T59" t="str">
        <v>attacker</v>
      </c>
      <c r="U59" t="str">
        <v>Axis</v>
      </c>
      <c r="V59" t="str">
        <v>Allies</v>
      </c>
      <c r="W59" t="str">
        <f>IF(OR(OR(U59="Allies",U59="Axis"),AND(NOT(ISERROR(SEARCH("Primary",U59))),ISERROR(SEARCH(V59,U59)))),VLOOKUP(I59,'Player-Force'!$A$3:$K$28,4,0),IF(U59=V59,AC59,VLOOKUP(I59,'Player-Force'!$A$3:$K$28,8,0)))</f>
        <v>German: D-Day</v>
      </c>
      <c r="X59" t="str">
        <f>IF(OR(OR(V59="Allies",V59="Axis"),AND(NOT(ISERROR(SEARCH("Primary",V59))),ISERROR(SEARCH(U59,V59)))),VLOOKUP(P59,'Player-Force'!$A$3:$K$28,4,0),IF(V59=U59,AD59,VLOOKUP(P59,'Player-Force'!$A$3:$K$28,8,0)))</f>
        <v>Soviet: Bagration</v>
      </c>
      <c r="Y59" t="str" cm="1">
        <f t="array" ref="Y59">IF(W59="NOT RECORDED","",IF(VLOOKUP(I59,'Player-Force'!$A$3:$K$28,MATCH(W59,_xlfn._xlws.FILTER('Player-Force'!$A$3:$K$28,'Player-Force'!$A$3:$A$28=I59),0)+2,0)=0,"",VLOOKUP(I59,'Player-Force'!$A$3:$K$28,MATCH(W59,_xlfn._xlws.FILTER('Player-Force'!$A$3:$K$28,'Player-Force'!$A$3:$A$28=I59),0)+2,0)))</f>
        <v>Beach Defence Grenadier Company</v>
      </c>
      <c r="Z59" t="str" cm="1">
        <f t="array" ref="Z59">IF(X59="NOT RECORDED","",IF(VLOOKUP(P59,'Player-Force'!$A$3:$K$28,MATCH(X59,_xlfn._xlws.FILTER('Player-Force'!$A$3:$K$28,'Player-Force'!$A$3:$A$28=P59),0)+2,0)=0,"",VLOOKUP(P59,'Player-Force'!$A$3:$K$28,MATCH(X59,_xlfn._xlws.FILTER('Player-Force'!$A$3:$K$28,'Player-Force'!$A$3:$A$28=P59),0)+2,0)))</f>
        <v>Medium SP Artillery Regiment</v>
      </c>
      <c r="AA59" t="str" cm="1">
        <f t="array" ref="AA59">IF(W59="NOT RECORDED","",IF(VLOOKUP(I59,'Player-Force'!$A$3:$K$28,MATCH(W59,_xlfn._xlws.FILTER('Player-Force'!$A$3:$K$28,'Player-Force'!$A$3:$A$28=I59),0)+3,0)=0,"",VLOOKUP(I59,'Player-Force'!$A$3:$K$28,MATCH(W59,_xlfn._xlws.FILTER('Player-Force'!$A$3:$K$28,'Player-Force'!$A$3:$A$28=I59),0)+3,0)))</f>
        <v/>
      </c>
      <c r="AB59" t="str" cm="1">
        <f t="array" ref="AB59">IF(X59="NOT RECORDED","",IF(VLOOKUP(P59,'Player-Force'!$A$3:$K$28,MATCH(X59,_xlfn._xlws.FILTER('Player-Force'!$A$3:$K$28,'Player-Force'!$A$3:$A$28=P59),0)+3,0)=0,"",VLOOKUP(P59,'Player-Force'!$A$3:$K$28,MATCH(X59,_xlfn._xlws.FILTER('Player-Force'!$A$3:$K$28,'Player-Force'!$A$3:$A$28=P59),0)+3,0)))</f>
        <v>Hero Motor Rifle Battalion</v>
      </c>
      <c r="AE59" t="str">
        <f t="shared" si="2"/>
        <v>Infantry</v>
      </c>
      <c r="AF59" t="str">
        <f t="shared" si="3"/>
        <v>Combined Tank/Infantry</v>
      </c>
    </row>
    <row r="60" spans="1:32" x14ac:dyDescent="0.25">
      <c r="A60">
        <v>1</v>
      </c>
      <c r="B60">
        <v>5</v>
      </c>
      <c r="C60" t="str">
        <v>covering_force</v>
      </c>
      <c r="D60" t="str">
        <v>b</v>
      </c>
      <c r="E60" t="str">
        <v>objective_taken</v>
      </c>
      <c r="F60" t="str">
        <v>b</v>
      </c>
      <c r="G60">
        <v>0</v>
      </c>
      <c r="H60" t="str">
        <v>m176rx4162gqb0r56mkm423ckh7mms1f</v>
      </c>
      <c r="I60" t="str">
        <v>Andy Somerville</v>
      </c>
      <c r="J60" t="str">
        <v>maneuver</v>
      </c>
      <c r="K60">
        <v>2</v>
      </c>
      <c r="L60">
        <v>1</v>
      </c>
      <c r="M60" t="str">
        <v>defender</v>
      </c>
      <c r="N60">
        <v>0</v>
      </c>
      <c r="O60" t="str">
        <v>m174njm2q4jceqsc68swfjfyq57nw34f</v>
      </c>
      <c r="P60" t="str">
        <v>Anthony Himycz</v>
      </c>
      <c r="Q60" t="str">
        <v>attack</v>
      </c>
      <c r="R60">
        <v>1</v>
      </c>
      <c r="S60">
        <v>8</v>
      </c>
      <c r="T60" t="str">
        <v>attacker</v>
      </c>
      <c r="U60" t="str">
        <v>Primary Allies</v>
      </c>
      <c r="V60" t="str">
        <v>Allies</v>
      </c>
      <c r="W60" t="str">
        <f>IF(OR(OR(U60="Allies",U60="Axis"),AND(NOT(ISERROR(SEARCH("Primary",U60))),ISERROR(SEARCH(V60,U60)))),VLOOKUP(I60,'Player-Force'!$A$3:$K$28,4,0),IF(U60=V60,AC60,VLOOKUP(I60,'Player-Force'!$A$3:$K$28,8,0)))</f>
        <v>German: D-Day</v>
      </c>
      <c r="X60" t="str">
        <f>IF(OR(OR(V60="Allies",V60="Axis"),AND(NOT(ISERROR(SEARCH("Primary",V60))),ISERROR(SEARCH(U60,V60)))),VLOOKUP(P60,'Player-Force'!$A$3:$K$28,4,0),IF(V60=U60,AD60,VLOOKUP(P60,'Player-Force'!$A$3:$K$28,8,0)))</f>
        <v>British: Bulge</v>
      </c>
      <c r="Y60" t="str" cm="1">
        <f t="array" ref="Y60">IF(W60="NOT RECORDED","",IF(VLOOKUP(I60,'Player-Force'!$A$3:$K$28,MATCH(W60,_xlfn._xlws.FILTER('Player-Force'!$A$3:$K$28,'Player-Force'!$A$3:$A$28=I60),0)+2,0)=0,"",VLOOKUP(I60,'Player-Force'!$A$3:$K$28,MATCH(W60,_xlfn._xlws.FILTER('Player-Force'!$A$3:$K$28,'Player-Force'!$A$3:$A$28=I60),0)+2,0)))</f>
        <v>Armoured Panzergrenadier Company</v>
      </c>
      <c r="Z60" t="str" cm="1">
        <f t="array" ref="Z60">IF(X60="NOT RECORDED","",IF(VLOOKUP(P60,'Player-Force'!$A$3:$K$28,MATCH(X60,_xlfn._xlws.FILTER('Player-Force'!$A$3:$K$28,'Player-Force'!$A$3:$A$28=P60),0)+2,0)=0,"",VLOOKUP(P60,'Player-Force'!$A$3:$K$28,MATCH(X60,_xlfn._xlws.FILTER('Player-Force'!$A$3:$K$28,'Player-Force'!$A$3:$A$28=P60),0)+2,0)))</f>
        <v>Ram Armoured Squadron</v>
      </c>
      <c r="AA60" t="str" cm="1">
        <f t="array" ref="AA60">IF(W60="NOT RECORDED","",IF(VLOOKUP(I60,'Player-Force'!$A$3:$K$28,MATCH(W60,_xlfn._xlws.FILTER('Player-Force'!$A$3:$K$28,'Player-Force'!$A$3:$A$28=I60),0)+3,0)=0,"",VLOOKUP(I60,'Player-Force'!$A$3:$K$28,MATCH(W60,_xlfn._xlws.FILTER('Player-Force'!$A$3:$K$28,'Player-Force'!$A$3:$A$28=I60),0)+3,0)))</f>
        <v/>
      </c>
      <c r="AB60" t="str" cm="1">
        <f t="array" ref="AB60">IF(X60="NOT RECORDED","",IF(VLOOKUP(P60,'Player-Force'!$A$3:$K$28,MATCH(X60,_xlfn._xlws.FILTER('Player-Force'!$A$3:$K$28,'Player-Force'!$A$3:$A$28=P60),0)+3,0)=0,"",VLOOKUP(P60,'Player-Force'!$A$3:$K$28,MATCH(X60,_xlfn._xlws.FILTER('Player-Force'!$A$3:$K$28,'Player-Force'!$A$3:$A$28=P60),0)+3,0)))</f>
        <v/>
      </c>
      <c r="AE60" t="str">
        <f t="shared" si="2"/>
        <v>Mechanised Infantry</v>
      </c>
      <c r="AF60" t="str">
        <f t="shared" si="3"/>
        <v>Tank</v>
      </c>
    </row>
    <row r="61" spans="1:32" x14ac:dyDescent="0.25">
      <c r="A61">
        <v>1</v>
      </c>
      <c r="B61">
        <v>5</v>
      </c>
      <c r="C61" t="str">
        <v>free_for_all</v>
      </c>
      <c r="D61" t="str">
        <v>a</v>
      </c>
      <c r="E61" t="str">
        <v>force_broken</v>
      </c>
      <c r="F61" t="str">
        <v>b</v>
      </c>
      <c r="G61">
        <v>0</v>
      </c>
      <c r="H61" t="str">
        <v>m17d2hv9vk3g5e8etkqkbqbcmn85pv05</v>
      </c>
      <c r="I61" t="str">
        <v>Alasdair Galloway</v>
      </c>
      <c r="J61" t="str">
        <v>defend</v>
      </c>
      <c r="K61">
        <v>4</v>
      </c>
      <c r="L61">
        <v>1</v>
      </c>
      <c r="M61" t="str">
        <v>attacker</v>
      </c>
      <c r="N61">
        <v>0</v>
      </c>
      <c r="O61" t="str">
        <v>m17d9e98h7dzkz9ks8e8tn0jmh7ncmkw</v>
      </c>
      <c r="P61" t="str">
        <v>Alex Armitage</v>
      </c>
      <c r="Q61" t="str">
        <v>defend</v>
      </c>
      <c r="R61">
        <v>1</v>
      </c>
      <c r="S61">
        <v>8</v>
      </c>
      <c r="T61" t="str">
        <v>defender</v>
      </c>
      <c r="U61" t="str">
        <v>Primary Axis</v>
      </c>
      <c r="V61" t="str">
        <v>Axis</v>
      </c>
      <c r="W61" t="str">
        <f>IF(OR(OR(U61="Allies",U61="Axis"),AND(NOT(ISERROR(SEARCH("Primary",U61))),ISERROR(SEARCH(V61,U61)))),VLOOKUP(I61,'Player-Force'!$A$3:$K$28,4,0),IF(U61=V61,AC61,VLOOKUP(I61,'Player-Force'!$A$3:$K$28,8,0)))</f>
        <v>American: D-Day</v>
      </c>
      <c r="X61" t="str">
        <f>IF(OR(OR(V61="Allies",V61="Axis"),AND(NOT(ISERROR(SEARCH("Primary",V61))),ISERROR(SEARCH(U61,V61)))),VLOOKUP(P61,'Player-Force'!$A$3:$K$28,4,0),IF(V61=U61,AD61,VLOOKUP(P61,'Player-Force'!$A$3:$K$28,8,0)))</f>
        <v>German: Fortress Europe</v>
      </c>
      <c r="Y61" t="str" cm="1">
        <f t="array" ref="Y61">IF(W61="NOT RECORDED","",IF(VLOOKUP(I61,'Player-Force'!$A$3:$K$28,MATCH(W61,_xlfn._xlws.FILTER('Player-Force'!$A$3:$K$28,'Player-Force'!$A$3:$A$28=I61),0)+2,0)=0,"",VLOOKUP(I61,'Player-Force'!$A$3:$K$28,MATCH(W61,_xlfn._xlws.FILTER('Player-Force'!$A$3:$K$28,'Player-Force'!$A$3:$A$28=I61),0)+2,0)))</f>
        <v>Parachute Rifle Company</v>
      </c>
      <c r="Z61" t="str" cm="1">
        <f t="array" ref="Z61">IF(X61="NOT RECORDED","",IF(VLOOKUP(P61,'Player-Force'!$A$3:$K$28,MATCH(X61,_xlfn._xlws.FILTER('Player-Force'!$A$3:$K$28,'Player-Force'!$A$3:$A$28=P61),0)+2,0)=0,"",VLOOKUP(P61,'Player-Force'!$A$3:$K$28,MATCH(X61,_xlfn._xlws.FILTER('Player-Force'!$A$3:$K$28,'Player-Force'!$A$3:$A$28=P61),0)+2,0)))</f>
        <v>Berlin Battle Group</v>
      </c>
      <c r="AA61" t="str" cm="1">
        <f t="array" ref="AA61">IF(W61="NOT RECORDED","",IF(VLOOKUP(I61,'Player-Force'!$A$3:$K$28,MATCH(W61,_xlfn._xlws.FILTER('Player-Force'!$A$3:$K$28,'Player-Force'!$A$3:$A$28=I61),0)+3,0)=0,"",VLOOKUP(I61,'Player-Force'!$A$3:$K$28,MATCH(W61,_xlfn._xlws.FILTER('Player-Force'!$A$3:$K$28,'Player-Force'!$A$3:$A$28=I61),0)+3,0)))</f>
        <v/>
      </c>
      <c r="AB61" t="str" cm="1">
        <f t="array" ref="AB61">IF(X61="NOT RECORDED","",IF(VLOOKUP(P61,'Player-Force'!$A$3:$K$28,MATCH(X61,_xlfn._xlws.FILTER('Player-Force'!$A$3:$K$28,'Player-Force'!$A$3:$A$28=P61),0)+3,0)=0,"",VLOOKUP(P61,'Player-Force'!$A$3:$K$28,MATCH(X61,_xlfn._xlws.FILTER('Player-Force'!$A$3:$K$28,'Player-Force'!$A$3:$A$28=P61),0)+3,0)))</f>
        <v/>
      </c>
      <c r="AE61" t="str">
        <f t="shared" si="2"/>
        <v>Infantry</v>
      </c>
      <c r="AF61" t="str">
        <f t="shared" si="3"/>
        <v>Infantry</v>
      </c>
    </row>
    <row r="62" spans="1:32" x14ac:dyDescent="0.25">
      <c r="A62">
        <v>1</v>
      </c>
      <c r="B62">
        <v>7</v>
      </c>
      <c r="C62" t="str">
        <v>covering_force</v>
      </c>
      <c r="D62" t="str">
        <v>a</v>
      </c>
      <c r="E62" t="str">
        <v>force_broken</v>
      </c>
      <c r="F62" t="str">
        <v>b</v>
      </c>
      <c r="G62">
        <v>0</v>
      </c>
      <c r="H62" t="str">
        <v>m17c62q7r7gvzy8sta4yvpsy7n7nrqpc</v>
      </c>
      <c r="I62" t="str">
        <v>Simon Peyton</v>
      </c>
      <c r="J62" t="str">
        <v>attack</v>
      </c>
      <c r="K62">
        <v>5</v>
      </c>
      <c r="L62">
        <v>1</v>
      </c>
      <c r="M62" t="str">
        <v>attacker</v>
      </c>
      <c r="N62">
        <v>0</v>
      </c>
      <c r="O62" t="str">
        <v>m17e6mz911704amf7nvgscbtw97nd43j</v>
      </c>
      <c r="P62" t="str">
        <v>Krzysztof Kuczerawy</v>
      </c>
      <c r="Q62" t="str">
        <v>maneuver</v>
      </c>
      <c r="R62">
        <v>0</v>
      </c>
      <c r="S62">
        <v>8</v>
      </c>
      <c r="T62" t="str">
        <v>defender</v>
      </c>
      <c r="U62" t="str">
        <v>Axis</v>
      </c>
      <c r="V62" t="str">
        <v>Allies</v>
      </c>
      <c r="W62" t="str">
        <f>IF(OR(OR(U62="Allies",U62="Axis"),AND(NOT(ISERROR(SEARCH("Primary",U62))),ISERROR(SEARCH(V62,U62)))),VLOOKUP(I62,'Player-Force'!$A$3:$K$28,4,0),IF(U62=V62,AC62,VLOOKUP(I62,'Player-Force'!$A$3:$K$28,8,0)))</f>
        <v>German: Berlin</v>
      </c>
      <c r="X62" t="str">
        <f>IF(OR(OR(V62="Allies",V62="Axis"),AND(NOT(ISERROR(SEARCH("Primary",V62))),ISERROR(SEARCH(U62,V62)))),VLOOKUP(P62,'Player-Force'!$A$3:$K$28,4,0),IF(V62=U62,AD62,VLOOKUP(P62,'Player-Force'!$A$3:$K$28,8,0)))</f>
        <v>British: Bulge</v>
      </c>
      <c r="Y62" t="str" cm="1">
        <f t="array" ref="Y62">IF(W62="NOT RECORDED","",IF(VLOOKUP(I62,'Player-Force'!$A$3:$K$28,MATCH(W62,_xlfn._xlws.FILTER('Player-Force'!$A$3:$K$28,'Player-Force'!$A$3:$A$28=I62),0)+2,0)=0,"",VLOOKUP(I62,'Player-Force'!$A$3:$K$28,MATCH(W62,_xlfn._xlws.FILTER('Player-Force'!$A$3:$K$28,'Player-Force'!$A$3:$A$28=I62),0)+2,0)))</f>
        <v>Beach Defence Grenadier Company</v>
      </c>
      <c r="Z62" t="str" cm="1">
        <f t="array" ref="Z62">IF(X62="NOT RECORDED","",IF(VLOOKUP(P62,'Player-Force'!$A$3:$K$28,MATCH(X62,_xlfn._xlws.FILTER('Player-Force'!$A$3:$K$28,'Player-Force'!$A$3:$A$28=P62),0)+2,0)=0,"",VLOOKUP(P62,'Player-Force'!$A$3:$K$28,MATCH(X62,_xlfn._xlws.FILTER('Player-Force'!$A$3:$K$28,'Player-Force'!$A$3:$A$28=P62),0)+2,0)))</f>
        <v>Kangaroo Rifle Company</v>
      </c>
      <c r="AA62" t="str" cm="1">
        <f t="array" ref="AA62">IF(W62="NOT RECORDED","",IF(VLOOKUP(I62,'Player-Force'!$A$3:$K$28,MATCH(W62,_xlfn._xlws.FILTER('Player-Force'!$A$3:$K$28,'Player-Force'!$A$3:$A$28=I62),0)+3,0)=0,"",VLOOKUP(I62,'Player-Force'!$A$3:$K$28,MATCH(W62,_xlfn._xlws.FILTER('Player-Force'!$A$3:$K$28,'Player-Force'!$A$3:$A$28=I62),0)+3,0)))</f>
        <v/>
      </c>
      <c r="AB62" t="str" cm="1">
        <f t="array" ref="AB62">IF(X62="NOT RECORDED","",IF(VLOOKUP(P62,'Player-Force'!$A$3:$K$28,MATCH(X62,_xlfn._xlws.FILTER('Player-Force'!$A$3:$K$28,'Player-Force'!$A$3:$A$28=P62),0)+3,0)=0,"",VLOOKUP(P62,'Player-Force'!$A$3:$K$28,MATCH(X62,_xlfn._xlws.FILTER('Player-Force'!$A$3:$K$28,'Player-Force'!$A$3:$A$28=P62),0)+3,0)))</f>
        <v/>
      </c>
      <c r="AE62" t="str">
        <f t="shared" si="2"/>
        <v>Tank</v>
      </c>
      <c r="AF62" t="str">
        <f t="shared" si="3"/>
        <v>Mechanised Infantry</v>
      </c>
    </row>
    <row r="63" spans="1:32" x14ac:dyDescent="0.25">
      <c r="A63">
        <v>1</v>
      </c>
      <c r="B63">
        <v>4</v>
      </c>
      <c r="C63" t="str">
        <v>encounter</v>
      </c>
      <c r="D63" t="str">
        <v>a</v>
      </c>
      <c r="E63" t="str">
        <v>objective_taken</v>
      </c>
      <c r="F63" t="str">
        <v>b</v>
      </c>
      <c r="G63">
        <v>0</v>
      </c>
      <c r="H63" t="str">
        <v>m173e4ca5ymc0zvp6nnnfz8kqh85hdrg</v>
      </c>
      <c r="I63" t="str">
        <v>Raymond Young</v>
      </c>
      <c r="J63" t="str">
        <v>defend</v>
      </c>
      <c r="K63">
        <v>4</v>
      </c>
      <c r="L63">
        <v>1</v>
      </c>
      <c r="M63" t="str">
        <v>attacker</v>
      </c>
      <c r="N63">
        <v>0</v>
      </c>
      <c r="O63" t="str">
        <v>m17cms3zc3pkg59r1jj41s7txn7nbk3w</v>
      </c>
      <c r="P63" t="str">
        <v>Szymon Granat</v>
      </c>
      <c r="Q63" t="str">
        <v>defend</v>
      </c>
      <c r="R63">
        <v>1</v>
      </c>
      <c r="S63">
        <v>8</v>
      </c>
      <c r="T63" t="str">
        <v>defender</v>
      </c>
      <c r="U63" t="str">
        <v>Axis</v>
      </c>
      <c r="V63" t="str">
        <v>Primary Axis</v>
      </c>
      <c r="W63" t="str">
        <f>IF(OR(OR(U63="Allies",U63="Axis"),AND(NOT(ISERROR(SEARCH("Primary",U63))),ISERROR(SEARCH(V63,U63)))),VLOOKUP(I63,'Player-Force'!$A$3:$K$28,4,0),IF(U63=V63,AC63,VLOOKUP(I63,'Player-Force'!$A$3:$K$28,8,0)))</f>
        <v>German: D-Day</v>
      </c>
      <c r="X63" t="str">
        <f>IF(OR(OR(V63="Allies",V63="Axis"),AND(NOT(ISERROR(SEARCH("Primary",V63))),ISERROR(SEARCH(U63,V63)))),VLOOKUP(P63,'Player-Force'!$A$3:$K$28,4,0),IF(V63=U63,AD63,VLOOKUP(P63,'Player-Force'!$A$3:$K$28,8,0)))</f>
        <v>British: Bulge</v>
      </c>
      <c r="Y63" t="str" cm="1">
        <f t="array" ref="Y63">IF(W63="NOT RECORDED","",IF(VLOOKUP(I63,'Player-Force'!$A$3:$K$28,MATCH(W63,_xlfn._xlws.FILTER('Player-Force'!$A$3:$K$28,'Player-Force'!$A$3:$A$28=I63),0)+2,0)=0,"",VLOOKUP(I63,'Player-Force'!$A$3:$K$28,MATCH(W63,_xlfn._xlws.FILTER('Player-Force'!$A$3:$K$28,'Player-Force'!$A$3:$A$28=I63),0)+2,0)))</f>
        <v>Beach Defence Grenadier Company</v>
      </c>
      <c r="Z63" t="str" cm="1">
        <f t="array" ref="Z63">IF(X63="NOT RECORDED","",IF(VLOOKUP(P63,'Player-Force'!$A$3:$K$28,MATCH(X63,_xlfn._xlws.FILTER('Player-Force'!$A$3:$K$28,'Player-Force'!$A$3:$A$28=P63),0)+2,0)=0,"",VLOOKUP(P63,'Player-Force'!$A$3:$K$28,MATCH(X63,_xlfn._xlws.FILTER('Player-Force'!$A$3:$K$28,'Player-Force'!$A$3:$A$28=P63),0)+2,0)))</f>
        <v>Guards Sherman Armoured Squadron</v>
      </c>
      <c r="AA63" t="str" cm="1">
        <f t="array" ref="AA63">IF(W63="NOT RECORDED","",IF(VLOOKUP(I63,'Player-Force'!$A$3:$K$28,MATCH(W63,_xlfn._xlws.FILTER('Player-Force'!$A$3:$K$28,'Player-Force'!$A$3:$A$28=I63),0)+3,0)=0,"",VLOOKUP(I63,'Player-Force'!$A$3:$K$28,MATCH(W63,_xlfn._xlws.FILTER('Player-Force'!$A$3:$K$28,'Player-Force'!$A$3:$A$28=I63),0)+3,0)))</f>
        <v/>
      </c>
      <c r="AB63" t="str" cm="1">
        <f t="array" ref="AB63">IF(X63="NOT RECORDED","",IF(VLOOKUP(P63,'Player-Force'!$A$3:$K$28,MATCH(X63,_xlfn._xlws.FILTER('Player-Force'!$A$3:$K$28,'Player-Force'!$A$3:$A$28=P63),0)+3,0)=0,"",VLOOKUP(P63,'Player-Force'!$A$3:$K$28,MATCH(X63,_xlfn._xlws.FILTER('Player-Force'!$A$3:$K$28,'Player-Force'!$A$3:$A$28=P63),0)+3,0)))</f>
        <v>Frost's Parachute Company</v>
      </c>
      <c r="AE63" t="str">
        <f t="shared" si="2"/>
        <v>Infantry</v>
      </c>
      <c r="AF63" t="str">
        <f t="shared" si="3"/>
        <v>Combined Tank/Infantry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0A0A-3E2F-4E35-9246-89F58396E738}">
  <dimension ref="A1:A6"/>
  <sheetViews>
    <sheetView tabSelected="1" workbookViewId="0">
      <selection activeCell="A17" sqref="A17"/>
    </sheetView>
  </sheetViews>
  <sheetFormatPr defaultRowHeight="15" x14ac:dyDescent="0.25"/>
  <cols>
    <col min="1" max="1" width="154.42578125" customWidth="1"/>
  </cols>
  <sheetData>
    <row r="1" spans="1:1" x14ac:dyDescent="0.25">
      <c r="A1" s="128" t="s">
        <v>263</v>
      </c>
    </row>
    <row r="2" spans="1:1" x14ac:dyDescent="0.25">
      <c r="A2" s="129" t="s">
        <v>266</v>
      </c>
    </row>
    <row r="3" spans="1:1" x14ac:dyDescent="0.25">
      <c r="A3" s="129" t="s">
        <v>267</v>
      </c>
    </row>
    <row r="4" spans="1:1" x14ac:dyDescent="0.25">
      <c r="A4" s="129" t="s">
        <v>265</v>
      </c>
    </row>
    <row r="5" spans="1:1" x14ac:dyDescent="0.25">
      <c r="A5" s="130" t="s">
        <v>235</v>
      </c>
    </row>
    <row r="6" spans="1:1" x14ac:dyDescent="0.25">
      <c r="A6" s="131" t="s">
        <v>264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D805-F874-46B0-B9D5-B747B4D29AF4}">
  <dimension ref="A1:K28"/>
  <sheetViews>
    <sheetView workbookViewId="0">
      <selection activeCell="J10" sqref="J10"/>
    </sheetView>
  </sheetViews>
  <sheetFormatPr defaultRowHeight="15" x14ac:dyDescent="0.25"/>
  <cols>
    <col min="1" max="3" width="17.85546875" customWidth="1"/>
    <col min="4" max="4" width="27" bestFit="1" customWidth="1"/>
    <col min="5" max="5" width="34.140625" bestFit="1" customWidth="1"/>
    <col min="6" max="6" width="41" bestFit="1" customWidth="1"/>
    <col min="7" max="7" width="47.42578125" bestFit="1" customWidth="1"/>
    <col min="8" max="8" width="15.85546875" bestFit="1" customWidth="1"/>
    <col min="9" max="9" width="22.5703125" bestFit="1" customWidth="1"/>
    <col min="10" max="10" width="38.85546875" bestFit="1" customWidth="1"/>
    <col min="11" max="11" width="25.5703125" bestFit="1" customWidth="1"/>
    <col min="12" max="12" width="14" bestFit="1" customWidth="1"/>
  </cols>
  <sheetData>
    <row r="1" spans="1:11" ht="15.75" x14ac:dyDescent="0.25">
      <c r="A1" s="23"/>
      <c r="B1" s="21"/>
      <c r="C1" s="21"/>
      <c r="D1" s="90" t="s">
        <v>131</v>
      </c>
      <c r="E1" s="90"/>
      <c r="F1" s="90"/>
      <c r="G1" s="90"/>
      <c r="H1" s="90" t="s">
        <v>132</v>
      </c>
      <c r="I1" s="90"/>
      <c r="J1" s="90"/>
      <c r="K1" s="91"/>
    </row>
    <row r="2" spans="1:11" ht="16.5" thickBot="1" x14ac:dyDescent="0.3">
      <c r="A2" s="24" t="s">
        <v>188</v>
      </c>
      <c r="B2" s="22" t="s">
        <v>189</v>
      </c>
      <c r="C2" s="22" t="s">
        <v>160</v>
      </c>
      <c r="D2" s="14" t="s">
        <v>108</v>
      </c>
      <c r="E2" s="14" t="s">
        <v>190</v>
      </c>
      <c r="F2" s="14" t="s">
        <v>127</v>
      </c>
      <c r="G2" s="14" t="s">
        <v>128</v>
      </c>
      <c r="H2" s="14" t="s">
        <v>108</v>
      </c>
      <c r="I2" s="14" t="s">
        <v>190</v>
      </c>
      <c r="J2" s="14" t="s">
        <v>127</v>
      </c>
      <c r="K2" s="20" t="s">
        <v>128</v>
      </c>
    </row>
    <row r="3" spans="1:11" x14ac:dyDescent="0.25">
      <c r="A3" s="1" t="s">
        <v>68</v>
      </c>
      <c r="B3" t="s">
        <v>68</v>
      </c>
      <c r="C3" s="18" t="str">
        <f>IF(NOT(ISBLANK(H3)),IF(OR(NOT(ISERROR(SEARCH("German",D3))),NOT(ISERROR(SEARCH("Italian",D3))),NOT(ISERROR(SEARCH("Axis",D3)))),"Primary Axis","Primary Allies"),IF(OR(NOT(ISERROR(SEARCH("German",D3))),NOT(ISERROR(SEARCH("Italian",D3))),NOT(ISERROR(SEARCH("Axis",D3)))),"Axis","Allies"))</f>
        <v>Primary Axis</v>
      </c>
      <c r="D3" s="1" t="s">
        <v>109</v>
      </c>
      <c r="E3" t="s">
        <v>110</v>
      </c>
      <c r="F3" t="s">
        <v>129</v>
      </c>
      <c r="G3" s="18" t="s">
        <v>130</v>
      </c>
      <c r="H3" s="1" t="s">
        <v>126</v>
      </c>
      <c r="I3" t="s">
        <v>112</v>
      </c>
      <c r="J3" t="s">
        <v>133</v>
      </c>
      <c r="K3" s="18"/>
    </row>
    <row r="4" spans="1:11" x14ac:dyDescent="0.25">
      <c r="A4" s="1" t="s">
        <v>36</v>
      </c>
      <c r="B4" t="s">
        <v>36</v>
      </c>
      <c r="C4" s="18" t="str">
        <f t="shared" ref="C4:C28" si="0">IF(NOT(ISBLANK(H4)),IF(OR(NOT(ISERROR(SEARCH("German",D4))),NOT(ISERROR(SEARCH("Italian",D4))),NOT(ISERROR(SEARCH("Axis",D4)))),"Primary Axis","Primary Allies"),IF(OR(NOT(ISERROR(SEARCH("German",D4))),NOT(ISERROR(SEARCH("Italian",D4))),NOT(ISERROR(SEARCH("Axis",D4)))),"Axis","Allies"))</f>
        <v>Axis</v>
      </c>
      <c r="D4" s="1" t="s">
        <v>111</v>
      </c>
      <c r="E4" t="s">
        <v>112</v>
      </c>
      <c r="F4" t="s">
        <v>134</v>
      </c>
      <c r="G4" s="18"/>
      <c r="H4" s="1"/>
      <c r="K4" s="18"/>
    </row>
    <row r="5" spans="1:11" x14ac:dyDescent="0.25">
      <c r="A5" s="1" t="s">
        <v>44</v>
      </c>
      <c r="B5" t="s">
        <v>44</v>
      </c>
      <c r="C5" s="18" t="str">
        <f t="shared" si="0"/>
        <v>Primary Allies</v>
      </c>
      <c r="D5" s="1" t="s">
        <v>113</v>
      </c>
      <c r="E5" t="s">
        <v>114</v>
      </c>
      <c r="F5" t="s">
        <v>135</v>
      </c>
      <c r="G5" s="18" t="s">
        <v>136</v>
      </c>
      <c r="H5" s="1" t="s">
        <v>120</v>
      </c>
      <c r="I5" t="s">
        <v>123</v>
      </c>
      <c r="J5" t="s">
        <v>171</v>
      </c>
      <c r="K5" s="18"/>
    </row>
    <row r="6" spans="1:11" x14ac:dyDescent="0.25">
      <c r="A6" s="1" t="s">
        <v>63</v>
      </c>
      <c r="B6" t="s">
        <v>63</v>
      </c>
      <c r="C6" s="18" t="str">
        <f t="shared" si="0"/>
        <v>Allies</v>
      </c>
      <c r="D6" s="1" t="s">
        <v>115</v>
      </c>
      <c r="E6" t="s">
        <v>116</v>
      </c>
      <c r="F6" t="s">
        <v>137</v>
      </c>
      <c r="G6" s="18"/>
      <c r="H6" s="1"/>
      <c r="K6" s="18"/>
    </row>
    <row r="7" spans="1:11" x14ac:dyDescent="0.25">
      <c r="A7" s="1" t="s">
        <v>79</v>
      </c>
      <c r="B7" t="s">
        <v>79</v>
      </c>
      <c r="C7" s="18" t="str">
        <f t="shared" si="0"/>
        <v>Axis</v>
      </c>
      <c r="D7" s="1" t="s">
        <v>109</v>
      </c>
      <c r="E7" t="s">
        <v>116</v>
      </c>
      <c r="F7" t="s">
        <v>138</v>
      </c>
      <c r="G7" s="18"/>
      <c r="H7" s="1"/>
      <c r="K7" s="18"/>
    </row>
    <row r="8" spans="1:11" x14ac:dyDescent="0.25">
      <c r="A8" s="1" t="s">
        <v>24</v>
      </c>
      <c r="B8" t="s">
        <v>24</v>
      </c>
      <c r="C8" s="18" t="str">
        <f t="shared" si="0"/>
        <v>Axis</v>
      </c>
      <c r="D8" s="1" t="s">
        <v>117</v>
      </c>
      <c r="E8" t="s">
        <v>112</v>
      </c>
      <c r="F8" t="s">
        <v>139</v>
      </c>
      <c r="G8" s="18"/>
      <c r="H8" s="1"/>
      <c r="K8" s="18"/>
    </row>
    <row r="9" spans="1:11" x14ac:dyDescent="0.25">
      <c r="A9" s="1" t="s">
        <v>59</v>
      </c>
      <c r="B9" t="s">
        <v>187</v>
      </c>
      <c r="C9" s="18" t="str">
        <f t="shared" si="0"/>
        <v>Axis</v>
      </c>
      <c r="D9" s="1" t="s">
        <v>118</v>
      </c>
      <c r="E9" t="s">
        <v>116</v>
      </c>
      <c r="F9" t="s">
        <v>140</v>
      </c>
      <c r="G9" s="18"/>
      <c r="H9" s="1"/>
      <c r="K9" s="18"/>
    </row>
    <row r="10" spans="1:11" x14ac:dyDescent="0.25">
      <c r="A10" s="1" t="s">
        <v>49</v>
      </c>
      <c r="B10" t="s">
        <v>49</v>
      </c>
      <c r="C10" s="18" t="str">
        <f t="shared" si="0"/>
        <v>Primary Allies</v>
      </c>
      <c r="D10" s="1" t="s">
        <v>119</v>
      </c>
      <c r="E10" t="s">
        <v>114</v>
      </c>
      <c r="F10" t="s">
        <v>141</v>
      </c>
      <c r="G10" s="18" t="s">
        <v>142</v>
      </c>
      <c r="H10" s="1" t="s">
        <v>118</v>
      </c>
      <c r="I10" t="s">
        <v>116</v>
      </c>
      <c r="J10" t="s">
        <v>143</v>
      </c>
      <c r="K10" s="18"/>
    </row>
    <row r="11" spans="1:11" x14ac:dyDescent="0.25">
      <c r="A11" s="1" t="s">
        <v>28</v>
      </c>
      <c r="B11" t="s">
        <v>28</v>
      </c>
      <c r="C11" s="18" t="str">
        <f t="shared" si="0"/>
        <v>Axis</v>
      </c>
      <c r="D11" s="1" t="s">
        <v>120</v>
      </c>
      <c r="E11" t="s">
        <v>112</v>
      </c>
      <c r="F11" t="s">
        <v>144</v>
      </c>
      <c r="G11" s="18"/>
      <c r="H11" s="1"/>
      <c r="K11" s="18"/>
    </row>
    <row r="12" spans="1:11" x14ac:dyDescent="0.25">
      <c r="A12" s="1" t="s">
        <v>61</v>
      </c>
      <c r="B12" t="s">
        <v>61</v>
      </c>
      <c r="C12" s="18" t="str">
        <f t="shared" si="0"/>
        <v>Axis</v>
      </c>
      <c r="D12" s="1" t="s">
        <v>118</v>
      </c>
      <c r="E12" t="s">
        <v>112</v>
      </c>
      <c r="F12" t="s">
        <v>134</v>
      </c>
      <c r="G12" s="18"/>
      <c r="H12" s="1"/>
      <c r="K12" s="18"/>
    </row>
    <row r="13" spans="1:11" x14ac:dyDescent="0.25">
      <c r="A13" s="1" t="s">
        <v>54</v>
      </c>
      <c r="B13" t="s">
        <v>186</v>
      </c>
      <c r="C13" s="18" t="str">
        <f t="shared" si="0"/>
        <v>Allies</v>
      </c>
      <c r="D13" s="1" t="s">
        <v>113</v>
      </c>
      <c r="E13" t="s">
        <v>112</v>
      </c>
      <c r="F13" t="s">
        <v>136</v>
      </c>
      <c r="G13" s="18"/>
      <c r="H13" s="1"/>
      <c r="K13" s="18"/>
    </row>
    <row r="14" spans="1:11" x14ac:dyDescent="0.25">
      <c r="A14" s="1" t="s">
        <v>85</v>
      </c>
      <c r="B14" t="s">
        <v>85</v>
      </c>
      <c r="C14" s="18" t="str">
        <f t="shared" si="0"/>
        <v>Allies</v>
      </c>
      <c r="D14" s="1" t="s">
        <v>121</v>
      </c>
      <c r="E14" t="s">
        <v>116</v>
      </c>
      <c r="F14" t="s">
        <v>145</v>
      </c>
      <c r="G14" s="18"/>
      <c r="H14" s="1"/>
      <c r="K14" s="18"/>
    </row>
    <row r="15" spans="1:11" x14ac:dyDescent="0.25">
      <c r="A15" s="1" t="s">
        <v>39</v>
      </c>
      <c r="B15" t="s">
        <v>39</v>
      </c>
      <c r="C15" s="18" t="str">
        <f t="shared" si="0"/>
        <v>Allies</v>
      </c>
      <c r="D15" s="1" t="s">
        <v>113</v>
      </c>
      <c r="E15" t="s">
        <v>114</v>
      </c>
      <c r="F15" t="s">
        <v>146</v>
      </c>
      <c r="G15" s="18" t="s">
        <v>136</v>
      </c>
      <c r="H15" s="1"/>
      <c r="K15" s="18"/>
    </row>
    <row r="16" spans="1:11" x14ac:dyDescent="0.25">
      <c r="A16" s="1" t="s">
        <v>83</v>
      </c>
      <c r="B16" t="s">
        <v>83</v>
      </c>
      <c r="C16" s="18" t="str">
        <f t="shared" si="0"/>
        <v>Axis</v>
      </c>
      <c r="D16" s="1" t="s">
        <v>122</v>
      </c>
      <c r="E16" t="s">
        <v>116</v>
      </c>
      <c r="F16" t="s">
        <v>147</v>
      </c>
      <c r="G16" s="18"/>
      <c r="H16" s="1"/>
      <c r="K16" s="18"/>
    </row>
    <row r="17" spans="1:11" x14ac:dyDescent="0.25">
      <c r="A17" s="1" t="s">
        <v>70</v>
      </c>
      <c r="B17" t="s">
        <v>70</v>
      </c>
      <c r="C17" s="18" t="str">
        <f t="shared" si="0"/>
        <v>Allies</v>
      </c>
      <c r="D17" s="1" t="s">
        <v>115</v>
      </c>
      <c r="E17" t="s">
        <v>123</v>
      </c>
      <c r="F17" t="s">
        <v>148</v>
      </c>
      <c r="G17" s="18"/>
      <c r="H17" s="1"/>
      <c r="K17" s="18"/>
    </row>
    <row r="18" spans="1:11" x14ac:dyDescent="0.25">
      <c r="A18" s="1" t="s">
        <v>75</v>
      </c>
      <c r="B18" t="s">
        <v>75</v>
      </c>
      <c r="C18" s="18" t="str">
        <f t="shared" si="0"/>
        <v>Primary Allies</v>
      </c>
      <c r="D18" s="1" t="s">
        <v>113</v>
      </c>
      <c r="E18" t="s">
        <v>116</v>
      </c>
      <c r="F18" t="s">
        <v>149</v>
      </c>
      <c r="G18" s="18"/>
      <c r="H18" s="1" t="s">
        <v>117</v>
      </c>
      <c r="I18" t="s">
        <v>112</v>
      </c>
      <c r="J18" t="s">
        <v>139</v>
      </c>
      <c r="K18" s="18"/>
    </row>
    <row r="19" spans="1:11" x14ac:dyDescent="0.25">
      <c r="A19" s="1" t="s">
        <v>87</v>
      </c>
      <c r="B19" t="s">
        <v>87</v>
      </c>
      <c r="C19" s="18" t="str">
        <f t="shared" si="0"/>
        <v>Allies</v>
      </c>
      <c r="D19" s="1" t="s">
        <v>121</v>
      </c>
      <c r="E19" t="s">
        <v>112</v>
      </c>
      <c r="F19" t="s">
        <v>151</v>
      </c>
      <c r="G19" s="18"/>
      <c r="H19" s="1"/>
      <c r="K19" s="18"/>
    </row>
    <row r="20" spans="1:11" x14ac:dyDescent="0.25">
      <c r="A20" s="1" t="s">
        <v>72</v>
      </c>
      <c r="B20" t="s">
        <v>185</v>
      </c>
      <c r="C20" s="18" t="str">
        <f t="shared" si="0"/>
        <v>Axis</v>
      </c>
      <c r="D20" s="1" t="s">
        <v>117</v>
      </c>
      <c r="E20" t="s">
        <v>123</v>
      </c>
      <c r="F20" t="s">
        <v>152</v>
      </c>
      <c r="G20" s="18"/>
      <c r="H20" s="1"/>
      <c r="K20" s="18"/>
    </row>
    <row r="21" spans="1:11" x14ac:dyDescent="0.25">
      <c r="A21" s="1" t="s">
        <v>81</v>
      </c>
      <c r="B21" t="s">
        <v>81</v>
      </c>
      <c r="C21" s="18" t="str">
        <f t="shared" si="0"/>
        <v>Allies</v>
      </c>
      <c r="D21" s="1" t="s">
        <v>124</v>
      </c>
      <c r="E21" t="s">
        <v>116</v>
      </c>
      <c r="F21" t="s">
        <v>150</v>
      </c>
      <c r="G21" s="18"/>
      <c r="H21" s="1"/>
      <c r="K21" s="18"/>
    </row>
    <row r="22" spans="1:11" x14ac:dyDescent="0.25">
      <c r="A22" s="1" t="s">
        <v>42</v>
      </c>
      <c r="B22" t="s">
        <v>42</v>
      </c>
      <c r="C22" s="18" t="str">
        <f t="shared" si="0"/>
        <v>Axis</v>
      </c>
      <c r="D22" s="1" t="s">
        <v>118</v>
      </c>
      <c r="E22" t="s">
        <v>114</v>
      </c>
      <c r="F22" t="s">
        <v>153</v>
      </c>
      <c r="G22" s="18" t="s">
        <v>134</v>
      </c>
      <c r="H22" s="1"/>
      <c r="K22" s="18"/>
    </row>
    <row r="23" spans="1:11" x14ac:dyDescent="0.25">
      <c r="A23" s="1" t="s">
        <v>47</v>
      </c>
      <c r="B23" t="s">
        <v>47</v>
      </c>
      <c r="C23" s="18" t="str">
        <f t="shared" si="0"/>
        <v>Primary Allies</v>
      </c>
      <c r="D23" s="1" t="s">
        <v>125</v>
      </c>
      <c r="E23" t="s">
        <v>116</v>
      </c>
      <c r="F23" t="s">
        <v>139</v>
      </c>
      <c r="G23" s="18"/>
      <c r="H23" s="1" t="s">
        <v>117</v>
      </c>
      <c r="I23" t="s">
        <v>112</v>
      </c>
      <c r="J23" t="s">
        <v>154</v>
      </c>
      <c r="K23" s="18"/>
    </row>
    <row r="24" spans="1:11" x14ac:dyDescent="0.25">
      <c r="A24" s="1" t="s">
        <v>57</v>
      </c>
      <c r="B24" t="s">
        <v>57</v>
      </c>
      <c r="C24" s="18" t="str">
        <f t="shared" si="0"/>
        <v>Axis</v>
      </c>
      <c r="D24" s="1" t="s">
        <v>120</v>
      </c>
      <c r="E24" t="s">
        <v>112</v>
      </c>
      <c r="F24" t="s">
        <v>144</v>
      </c>
      <c r="G24" s="18"/>
      <c r="H24" s="1"/>
      <c r="K24" s="18"/>
    </row>
    <row r="25" spans="1:11" x14ac:dyDescent="0.25">
      <c r="A25" s="1" t="s">
        <v>77</v>
      </c>
      <c r="B25" t="s">
        <v>77</v>
      </c>
      <c r="C25" s="18" t="str">
        <f t="shared" si="0"/>
        <v>Primary Axis</v>
      </c>
      <c r="D25" s="1" t="s">
        <v>118</v>
      </c>
      <c r="E25" t="s">
        <v>112</v>
      </c>
      <c r="F25" t="s">
        <v>134</v>
      </c>
      <c r="G25" s="18"/>
      <c r="H25" s="1" t="s">
        <v>124</v>
      </c>
      <c r="I25" t="s">
        <v>112</v>
      </c>
      <c r="J25" t="s">
        <v>155</v>
      </c>
      <c r="K25" s="18"/>
    </row>
    <row r="26" spans="1:11" x14ac:dyDescent="0.25">
      <c r="A26" s="1" t="s">
        <v>52</v>
      </c>
      <c r="B26" t="s">
        <v>52</v>
      </c>
      <c r="C26" s="18" t="str">
        <f t="shared" si="0"/>
        <v>Axis</v>
      </c>
      <c r="D26" s="1" t="s">
        <v>118</v>
      </c>
      <c r="E26" t="s">
        <v>116</v>
      </c>
      <c r="F26" t="s">
        <v>144</v>
      </c>
      <c r="G26" s="18"/>
      <c r="H26" s="1"/>
      <c r="K26" s="18"/>
    </row>
    <row r="27" spans="1:11" x14ac:dyDescent="0.25">
      <c r="A27" s="1" t="s">
        <v>89</v>
      </c>
      <c r="B27" t="s">
        <v>89</v>
      </c>
      <c r="C27" s="18" t="str">
        <f t="shared" si="0"/>
        <v>Primary Axis</v>
      </c>
      <c r="D27" s="1" t="s">
        <v>161</v>
      </c>
      <c r="E27" t="s">
        <v>116</v>
      </c>
      <c r="F27" t="s">
        <v>156</v>
      </c>
      <c r="G27" s="18"/>
      <c r="H27" s="1" t="s">
        <v>115</v>
      </c>
      <c r="I27" t="s">
        <v>114</v>
      </c>
      <c r="J27" t="s">
        <v>157</v>
      </c>
      <c r="K27" s="18" t="s">
        <v>158</v>
      </c>
    </row>
    <row r="28" spans="1:11" x14ac:dyDescent="0.25">
      <c r="A28" s="3" t="s">
        <v>66</v>
      </c>
      <c r="B28" s="2" t="s">
        <v>66</v>
      </c>
      <c r="C28" s="19" t="str">
        <f t="shared" si="0"/>
        <v>Allies</v>
      </c>
      <c r="D28" s="3" t="s">
        <v>125</v>
      </c>
      <c r="E28" s="2" t="s">
        <v>114</v>
      </c>
      <c r="F28" s="2" t="s">
        <v>154</v>
      </c>
      <c r="G28" s="19" t="s">
        <v>159</v>
      </c>
      <c r="H28" s="3"/>
      <c r="I28" s="2"/>
      <c r="J28" s="2"/>
      <c r="K28" s="19"/>
    </row>
  </sheetData>
  <sheetProtection sheet="1" objects="1" scenarios="1"/>
  <autoFilter ref="A2:K2" xr:uid="{ECF2D805-F874-46B0-B9D5-B747B4D29AF4}"/>
  <mergeCells count="2">
    <mergeCell ref="D1:G1"/>
    <mergeCell ref="H1:K1"/>
  </mergeCells>
  <conditionalFormatting sqref="C3:C28">
    <cfRule type="containsText" dxfId="187" priority="3" operator="containsText" text="Primary Axis">
      <formula>NOT(ISERROR(SEARCH("Primary Axis",C3)))</formula>
    </cfRule>
    <cfRule type="containsText" dxfId="186" priority="4" operator="containsText" text="Primary Allies">
      <formula>NOT(ISERROR(SEARCH("Primary Allies",C3)))</formula>
    </cfRule>
    <cfRule type="cellIs" dxfId="185" priority="5" operator="equal">
      <formula>"Allies"</formula>
    </cfRule>
    <cfRule type="cellIs" dxfId="184" priority="6" operator="equal">
      <formula>"Axis"</formula>
    </cfRule>
  </conditionalFormatting>
  <conditionalFormatting sqref="D3:D28 H3:H28">
    <cfRule type="containsText" dxfId="183" priority="12" operator="containsText" text="Hungarian">
      <formula>NOT(ISERROR(SEARCH("Hungarian",D3)))</formula>
    </cfRule>
    <cfRule type="containsText" dxfId="182" priority="13" operator="containsText" text="Romanian">
      <formula>NOT(ISERROR(SEARCH("Romanian",D3)))</formula>
    </cfRule>
    <cfRule type="containsText" dxfId="181" priority="14" operator="containsText" text="American">
      <formula>NOT(ISERROR(SEARCH("American",D3)))</formula>
    </cfRule>
    <cfRule type="containsText" dxfId="180" priority="15" operator="containsText" text="British">
      <formula>NOT(ISERROR(SEARCH("British",D3)))</formula>
    </cfRule>
    <cfRule type="containsText" dxfId="179" priority="16" operator="containsText" text="Soviet">
      <formula>NOT(ISERROR(SEARCH("Soviet",D3)))</formula>
    </cfRule>
    <cfRule type="containsText" dxfId="178" priority="17" operator="containsText" text="German">
      <formula>NOT(ISERROR(SEARCH("German",D3)))</formula>
    </cfRule>
  </conditionalFormatting>
  <conditionalFormatting sqref="D3:K28">
    <cfRule type="containsBlanks" dxfId="177" priority="7">
      <formula>LEN(TRIM(D3))=0</formula>
    </cfRule>
  </conditionalFormatting>
  <conditionalFormatting sqref="E3:E28 I3:I28">
    <cfRule type="containsText" dxfId="176" priority="8" operator="containsText" text="Combined">
      <formula>NOT(ISERROR(SEARCH("Combined",E3)))</formula>
    </cfRule>
    <cfRule type="cellIs" dxfId="175" priority="9" operator="equal">
      <formula>"Mechanised Infantry"</formula>
    </cfRule>
    <cfRule type="cellIs" dxfId="174" priority="10" operator="equal">
      <formula>"Infantry"</formula>
    </cfRule>
    <cfRule type="cellIs" dxfId="173" priority="11" operator="equal">
      <formula>"Tank"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27D1-114F-49B7-959C-09343C0B41B4}">
  <dimension ref="A1:K27"/>
  <sheetViews>
    <sheetView topLeftCell="B1" workbookViewId="0">
      <selection activeCell="J10" sqref="J10"/>
    </sheetView>
  </sheetViews>
  <sheetFormatPr defaultRowHeight="15" x14ac:dyDescent="0.25"/>
  <cols>
    <col min="1" max="1" width="21" hidden="1" customWidth="1"/>
    <col min="2" max="2" width="21" customWidth="1"/>
    <col min="3" max="3" width="13" bestFit="1" customWidth="1"/>
    <col min="4" max="4" width="7.85546875" bestFit="1" customWidth="1"/>
    <col min="5" max="5" width="8.5703125" bestFit="1" customWidth="1"/>
    <col min="6" max="6" width="9.140625" bestFit="1" customWidth="1"/>
    <col min="7" max="7" width="9" bestFit="1" customWidth="1"/>
    <col min="8" max="8" width="13.42578125" bestFit="1" customWidth="1"/>
    <col min="9" max="9" width="12" bestFit="1" customWidth="1"/>
    <col min="10" max="10" width="13.7109375" bestFit="1" customWidth="1"/>
    <col min="11" max="11" width="20" bestFit="1" customWidth="1"/>
  </cols>
  <sheetData>
    <row r="1" spans="1:11" ht="16.5" thickBot="1" x14ac:dyDescent="0.3">
      <c r="A1" s="4" t="s">
        <v>188</v>
      </c>
      <c r="B1" s="5" t="s">
        <v>189</v>
      </c>
      <c r="C1" s="5" t="s">
        <v>180</v>
      </c>
      <c r="D1" s="26" t="s">
        <v>103</v>
      </c>
      <c r="E1" s="5" t="s">
        <v>104</v>
      </c>
      <c r="F1" s="5" t="s">
        <v>105</v>
      </c>
      <c r="G1" s="27" t="s">
        <v>179</v>
      </c>
      <c r="H1" s="26" t="s">
        <v>102</v>
      </c>
      <c r="I1" s="5" t="s">
        <v>106</v>
      </c>
      <c r="J1" s="5" t="s">
        <v>107</v>
      </c>
      <c r="K1" s="6" t="s">
        <v>176</v>
      </c>
    </row>
    <row r="2" spans="1:11" x14ac:dyDescent="0.25">
      <c r="A2" s="1" t="s">
        <v>87</v>
      </c>
      <c r="B2" t="str">
        <f>VLOOKUP(A2,'Player-Force'!A19:B44,2,0)</f>
        <v>Lucas Helaine-Watson</v>
      </c>
      <c r="C2" s="36" cm="1">
        <f t="array" ref="C2">SUM(N(data_mod!$I$2:$I$63=A2),N(data_mod!$P$2:$P$63=A2))</f>
        <v>5</v>
      </c>
      <c r="D2" s="1" cm="1">
        <f t="array" ref="D2">SUM((data_mod!$F$2:$F$63="a")*N(data_mod!$I$2:$I$63=A2),(data_mod!$F$2:$F$63="b")*N(data_mod!$P$2:$P$63=A2))</f>
        <v>4</v>
      </c>
      <c r="E2" cm="1">
        <f t="array" ref="E2">SUM((data_mod!$F$2:$F$63="b")*N(data_mod!$I$2:$I$63=A2),(data_mod!$F$2:$F$63="a")*N(data_mod!$P$2:$P$63=A2))</f>
        <v>0</v>
      </c>
      <c r="F2" cm="1">
        <f t="array" ref="F2">SUM((data_mod!$F$2:$F$63="none")*N(data_mod!$I$2:$I$63=A2),(data_mod!$F$2:$F$63="none")*N(data_mod!$P$2:$P$63=A2))</f>
        <v>1</v>
      </c>
      <c r="G2" s="32">
        <f t="shared" ref="G2:G27" si="0">D2/SUM(D2:F2)</f>
        <v>0.8</v>
      </c>
      <c r="H2" s="1" cm="1">
        <f t="array" ref="H2">SUM((data_mod!$L$2:$L$63)*N(data_mod!$I$2:$I$63=A2),(data_mod!$S$2:$S$63)*N(data_mod!$P$2:PY$63=A2))</f>
        <v>31</v>
      </c>
      <c r="I2" cm="1">
        <f t="array" ref="I2">SUM((data_mod!$K$2:$K$63)*N(data_mod!$I$2:$I$63=A2),(data_mod!$R$2:$R$63)*N(data_mod!$P$2:PY$63=A2))</f>
        <v>9</v>
      </c>
      <c r="J2" cm="1">
        <f t="array" ref="J2">SUM((data_mod!$R$2:$R$63)*N(data_mod!$I$2:$I$63=A2),(data_mod!$K$2:$K$63)*N(data_mod!$P$2:PY$63=A2))</f>
        <v>22</v>
      </c>
      <c r="K2" s="25">
        <f t="shared" ref="K2:K27" si="1">J2/I2</f>
        <v>2.4444444444444446</v>
      </c>
    </row>
    <row r="3" spans="1:11" x14ac:dyDescent="0.25">
      <c r="A3" s="1" t="s">
        <v>66</v>
      </c>
      <c r="B3" t="str">
        <f>VLOOKUP(A3,'Player-Force'!A28:B53,2,0)</f>
        <v>Tom Dudley</v>
      </c>
      <c r="C3" s="18" cm="1">
        <f t="array" ref="C3">SUM(N(data_mod!$I$2:$I$63=A3),N(data_mod!$P$2:$P$63=A3))</f>
        <v>5</v>
      </c>
      <c r="D3" s="1" cm="1">
        <f t="array" ref="D3">SUM((data_mod!$F$2:$F$63="a")*N(data_mod!$I$2:$I$63=A3),(data_mod!$F$2:$F$63="b")*N(data_mod!$P$2:$P$63=A3))</f>
        <v>4</v>
      </c>
      <c r="E3" cm="1">
        <f t="array" ref="E3">SUM((data_mod!$F$2:$F$63="b")*N(data_mod!$I$2:$I$63=A3),(data_mod!$F$2:$F$63="a")*N(data_mod!$P$2:$P$63=A3))</f>
        <v>0</v>
      </c>
      <c r="F3" cm="1">
        <f t="array" ref="F3">SUM((data_mod!$F$2:$F$63="none")*N(data_mod!$I$2:$I$63=A3),(data_mod!$F$2:$F$63="none")*N(data_mod!$P$2:$P$63=A3))</f>
        <v>1</v>
      </c>
      <c r="G3" s="32">
        <f t="shared" si="0"/>
        <v>0.8</v>
      </c>
      <c r="H3" s="1" cm="1">
        <f t="array" ref="H3">SUM((data_mod!$L$2:$L$63)*N(data_mod!$I$2:$I$63=A3),(data_mod!$S$2:$S$63)*N(data_mod!$P$2:PY$63=A3))</f>
        <v>29</v>
      </c>
      <c r="I3" cm="1">
        <f t="array" ref="I3">SUM((data_mod!$K$2:$K$63)*N(data_mod!$I$2:$I$63=A3),(data_mod!$R$2:$R$63)*N(data_mod!$P$2:PY$63=A3))</f>
        <v>8</v>
      </c>
      <c r="J3" cm="1">
        <f t="array" ref="J3">SUM((data_mod!$R$2:$R$63)*N(data_mod!$I$2:$I$63=A3),(data_mod!$K$2:$K$63)*N(data_mod!$P$2:PY$63=A3))</f>
        <v>16</v>
      </c>
      <c r="K3" s="25">
        <f t="shared" si="1"/>
        <v>2</v>
      </c>
    </row>
    <row r="4" spans="1:11" x14ac:dyDescent="0.25">
      <c r="A4" s="1" t="s">
        <v>77</v>
      </c>
      <c r="B4" t="str">
        <f>VLOOKUP(A4,'Player-Force'!A25:B50,2,0)</f>
        <v>Rex King</v>
      </c>
      <c r="C4" s="18" cm="1">
        <f t="array" ref="C4">SUM(N(data_mod!$I$2:$I$63=A4),N(data_mod!$P$2:$P$63=A4))</f>
        <v>5</v>
      </c>
      <c r="D4" s="1" cm="1">
        <f t="array" ref="D4">SUM((data_mod!$F$2:$F$63="a")*N(data_mod!$I$2:$I$63=A4),(data_mod!$F$2:$F$63="b")*N(data_mod!$P$2:$P$63=A4))</f>
        <v>3</v>
      </c>
      <c r="E4" cm="1">
        <f t="array" ref="E4">SUM((data_mod!$F$2:$F$63="b")*N(data_mod!$I$2:$I$63=A4),(data_mod!$F$2:$F$63="a")*N(data_mod!$P$2:$P$63=A4))</f>
        <v>2</v>
      </c>
      <c r="F4" cm="1">
        <f t="array" ref="F4">SUM((data_mod!$F$2:$F$63="none")*N(data_mod!$I$2:$I$63=A4),(data_mod!$F$2:$F$63="none")*N(data_mod!$P$2:$P$63=A4))</f>
        <v>0</v>
      </c>
      <c r="G4" s="32">
        <f t="shared" si="0"/>
        <v>0.6</v>
      </c>
      <c r="H4" s="1" cm="1">
        <f t="array" ref="H4">SUM((data_mod!$L$2:$L$63)*N(data_mod!$I$2:$I$63=A4),(data_mod!$S$2:$S$63)*N(data_mod!$P$2:PY$63=A4))</f>
        <v>27</v>
      </c>
      <c r="I4" cm="1">
        <f t="array" ref="I4">SUM((data_mod!$K$2:$K$63)*N(data_mod!$I$2:$I$63=A4),(data_mod!$R$2:$R$63)*N(data_mod!$P$2:PY$63=A4))</f>
        <v>9</v>
      </c>
      <c r="J4" cm="1">
        <f t="array" ref="J4">SUM((data_mod!$R$2:$R$63)*N(data_mod!$I$2:$I$63=A4),(data_mod!$K$2:$K$63)*N(data_mod!$P$2:PY$63=A4))</f>
        <v>14</v>
      </c>
      <c r="K4" s="25">
        <f t="shared" si="1"/>
        <v>1.5555555555555556</v>
      </c>
    </row>
    <row r="5" spans="1:11" x14ac:dyDescent="0.25">
      <c r="A5" s="1" t="s">
        <v>61</v>
      </c>
      <c r="B5" t="str">
        <f>VLOOKUP(A5,'Player-Force'!A12:B37,2,0)</f>
        <v>Jacopo Sem</v>
      </c>
      <c r="C5" s="18" cm="1">
        <f t="array" ref="C5">SUM(N(data_mod!$I$2:$I$63=A5),N(data_mod!$P$2:$P$63=A5))</f>
        <v>5</v>
      </c>
      <c r="D5" s="1" cm="1">
        <f t="array" ref="D5">SUM((data_mod!$F$2:$F$63="a")*N(data_mod!$I$2:$I$63=A5),(data_mod!$F$2:$F$63="b")*N(data_mod!$P$2:$P$63=A5))</f>
        <v>3</v>
      </c>
      <c r="E5" cm="1">
        <f t="array" ref="E5">SUM((data_mod!$F$2:$F$63="b")*N(data_mod!$I$2:$I$63=A5),(data_mod!$F$2:$F$63="a")*N(data_mod!$P$2:$P$63=A5))</f>
        <v>0</v>
      </c>
      <c r="F5" cm="1">
        <f t="array" ref="F5">SUM((data_mod!$F$2:$F$63="none")*N(data_mod!$I$2:$I$63=A5),(data_mod!$F$2:$F$63="none")*N(data_mod!$P$2:$P$63=A5))</f>
        <v>2</v>
      </c>
      <c r="G5" s="32">
        <f t="shared" si="0"/>
        <v>0.6</v>
      </c>
      <c r="H5" s="1" cm="1">
        <f t="array" ref="H5">SUM((data_mod!$L$2:$L$63)*N(data_mod!$I$2:$I$63=A5),(data_mod!$S$2:$S$63)*N(data_mod!$P$2:PY$63=A5))</f>
        <v>26</v>
      </c>
      <c r="I5" cm="1">
        <f t="array" ref="I5">SUM((data_mod!$K$2:$K$63)*N(data_mod!$I$2:$I$63=A5),(data_mod!$R$2:$R$63)*N(data_mod!$P$2:PY$63=A5))</f>
        <v>7</v>
      </c>
      <c r="J5" cm="1">
        <f t="array" ref="J5">SUM((data_mod!$R$2:$R$63)*N(data_mod!$I$2:$I$63=A5),(data_mod!$K$2:$K$63)*N(data_mod!$P$2:PY$63=A5))</f>
        <v>17</v>
      </c>
      <c r="K5" s="25">
        <f t="shared" si="1"/>
        <v>2.4285714285714284</v>
      </c>
    </row>
    <row r="6" spans="1:11" x14ac:dyDescent="0.25">
      <c r="A6" s="1" t="s">
        <v>72</v>
      </c>
      <c r="B6" t="str">
        <f>VLOOKUP(A6,'Player-Force'!A20:B45,2,0)</f>
        <v>Lukasz Kur</v>
      </c>
      <c r="C6" s="18" cm="1">
        <f t="array" ref="C6">SUM(N(data_mod!$I$2:$I$63=A6),N(data_mod!$P$2:$P$63=A6))</f>
        <v>5</v>
      </c>
      <c r="D6" s="1" cm="1">
        <f t="array" ref="D6">SUM((data_mod!$F$2:$F$63="a")*N(data_mod!$I$2:$I$63=A6),(data_mod!$F$2:$F$63="b")*N(data_mod!$P$2:$P$63=A6))</f>
        <v>3</v>
      </c>
      <c r="E6" cm="1">
        <f t="array" ref="E6">SUM((data_mod!$F$2:$F$63="b")*N(data_mod!$I$2:$I$63=A6),(data_mod!$F$2:$F$63="a")*N(data_mod!$P$2:$P$63=A6))</f>
        <v>1</v>
      </c>
      <c r="F6" cm="1">
        <f t="array" ref="F6">SUM((data_mod!$F$2:$F$63="none")*N(data_mod!$I$2:$I$63=A6),(data_mod!$F$2:$F$63="none")*N(data_mod!$P$2:$P$63=A6))</f>
        <v>1</v>
      </c>
      <c r="G6" s="32">
        <f t="shared" si="0"/>
        <v>0.6</v>
      </c>
      <c r="H6" s="1" cm="1">
        <f t="array" ref="H6">SUM((data_mod!$L$2:$L$63)*N(data_mod!$I$2:$I$63=A6),(data_mod!$S$2:$S$63)*N(data_mod!$P$2:PY$63=A6))</f>
        <v>26</v>
      </c>
      <c r="I6" cm="1">
        <f t="array" ref="I6">SUM((data_mod!$K$2:$K$63)*N(data_mod!$I$2:$I$63=A6),(data_mod!$R$2:$R$63)*N(data_mod!$P$2:PY$63=A6))</f>
        <v>14</v>
      </c>
      <c r="J6" cm="1">
        <f t="array" ref="J6">SUM((data_mod!$R$2:$R$63)*N(data_mod!$I$2:$I$63=A6),(data_mod!$K$2:$K$63)*N(data_mod!$P$2:PY$63=A6))</f>
        <v>18</v>
      </c>
      <c r="K6" s="25">
        <f t="shared" si="1"/>
        <v>1.2857142857142858</v>
      </c>
    </row>
    <row r="7" spans="1:11" x14ac:dyDescent="0.25">
      <c r="A7" s="1" t="s">
        <v>83</v>
      </c>
      <c r="B7" t="str">
        <f>VLOOKUP(A7,'Player-Force'!A16:B41,2,0)</f>
        <v>Kenneth Alexander</v>
      </c>
      <c r="C7" s="18" cm="1">
        <f t="array" ref="C7">SUM(N(data_mod!$I$2:$I$63=A7),N(data_mod!$P$2:$P$63=A7))</f>
        <v>4</v>
      </c>
      <c r="D7" s="1" cm="1">
        <f t="array" ref="D7">SUM((data_mod!$F$2:$F$63="a")*N(data_mod!$I$2:$I$63=A7),(data_mod!$F$2:$F$63="b")*N(data_mod!$P$2:$P$63=A7))</f>
        <v>3</v>
      </c>
      <c r="E7" cm="1">
        <f t="array" ref="E7">SUM((data_mod!$F$2:$F$63="b")*N(data_mod!$I$2:$I$63=A7),(data_mod!$F$2:$F$63="a")*N(data_mod!$P$2:$P$63=A7))</f>
        <v>1</v>
      </c>
      <c r="F7" cm="1">
        <f t="array" ref="F7">SUM((data_mod!$F$2:$F$63="none")*N(data_mod!$I$2:$I$63=A7),(data_mod!$F$2:$F$63="none")*N(data_mod!$P$2:$P$63=A7))</f>
        <v>0</v>
      </c>
      <c r="G7" s="32">
        <f t="shared" si="0"/>
        <v>0.75</v>
      </c>
      <c r="H7" s="1" cm="1">
        <f t="array" ref="H7">SUM((data_mod!$L$2:$L$63)*N(data_mod!$I$2:$I$63=A7),(data_mod!$S$2:$S$63)*N(data_mod!$P$2:PY$63=A7))</f>
        <v>24</v>
      </c>
      <c r="I7" cm="1">
        <f t="array" ref="I7">SUM((data_mod!$K$2:$K$63)*N(data_mod!$I$2:$I$63=A7),(data_mod!$R$2:$R$63)*N(data_mod!$P$2:PY$63=A7))</f>
        <v>6</v>
      </c>
      <c r="J7" cm="1">
        <f t="array" ref="J7">SUM((data_mod!$R$2:$R$63)*N(data_mod!$I$2:$I$63=A7),(data_mod!$K$2:$K$63)*N(data_mod!$P$2:PY$63=A7))</f>
        <v>5</v>
      </c>
      <c r="K7" s="25">
        <f t="shared" si="1"/>
        <v>0.83333333333333337</v>
      </c>
    </row>
    <row r="8" spans="1:11" x14ac:dyDescent="0.25">
      <c r="A8" s="1" t="s">
        <v>68</v>
      </c>
      <c r="B8" t="str">
        <f>VLOOKUP(A8,'Player-Force'!A3:B28,2,0)</f>
        <v>Alasdair Galloway</v>
      </c>
      <c r="C8" s="18" cm="1">
        <f t="array" ref="C8">SUM(N(data_mod!$I$2:$I$63=A8),N(data_mod!$P$2:$P$63=A8))</f>
        <v>5</v>
      </c>
      <c r="D8" s="1" cm="1">
        <f t="array" ref="D8">SUM((data_mod!$F$2:$F$63="a")*N(data_mod!$I$2:$I$63=A8),(data_mod!$F$2:$F$63="b")*N(data_mod!$P$2:$P$63=A8))</f>
        <v>2</v>
      </c>
      <c r="E8" cm="1">
        <f t="array" ref="E8">SUM((data_mod!$F$2:$F$63="b")*N(data_mod!$I$2:$I$63=A8),(data_mod!$F$2:$F$63="a")*N(data_mod!$P$2:$P$63=A8))</f>
        <v>2</v>
      </c>
      <c r="F8" cm="1">
        <f t="array" ref="F8">SUM((data_mod!$F$2:$F$63="none")*N(data_mod!$I$2:$I$63=A8),(data_mod!$F$2:$F$63="none")*N(data_mod!$P$2:$P$63=A8))</f>
        <v>1</v>
      </c>
      <c r="G8" s="32">
        <f t="shared" si="0"/>
        <v>0.4</v>
      </c>
      <c r="H8" s="1" cm="1">
        <f t="array" ref="H8">SUM((data_mod!$L$2:$L$63)*N(data_mod!$I$2:$I$63=A8),(data_mod!$S$2:$S$63)*N(data_mod!$P$2:PY$63=A8))</f>
        <v>21</v>
      </c>
      <c r="I8" cm="1">
        <f t="array" ref="I8">SUM((data_mod!$K$2:$K$63)*N(data_mod!$I$2:$I$63=A8),(data_mod!$R$2:$R$63)*N(data_mod!$P$2:PY$63=A8))</f>
        <v>13</v>
      </c>
      <c r="J8" cm="1">
        <f t="array" ref="J8">SUM((data_mod!$R$2:$R$63)*N(data_mod!$I$2:$I$63=A8),(data_mod!$K$2:$K$63)*N(data_mod!$P$2:PY$63=A8))</f>
        <v>10</v>
      </c>
      <c r="K8" s="25">
        <f t="shared" si="1"/>
        <v>0.76923076923076927</v>
      </c>
    </row>
    <row r="9" spans="1:11" x14ac:dyDescent="0.25">
      <c r="A9" s="1" t="s">
        <v>36</v>
      </c>
      <c r="B9" t="str">
        <f>VLOOKUP(A9,'Player-Force'!A4:B29,2,0)</f>
        <v>Alex Armitage</v>
      </c>
      <c r="C9" s="18" cm="1">
        <f t="array" ref="C9">SUM(N(data_mod!$I$2:$I$63=A9),N(data_mod!$P$2:$P$63=A9))</f>
        <v>5</v>
      </c>
      <c r="D9" s="1" cm="1">
        <f t="array" ref="D9">SUM((data_mod!$F$2:$F$63="a")*N(data_mod!$I$2:$I$63=A9),(data_mod!$F$2:$F$63="b")*N(data_mod!$P$2:$P$63=A9))</f>
        <v>2</v>
      </c>
      <c r="E9" cm="1">
        <f t="array" ref="E9">SUM((data_mod!$F$2:$F$63="b")*N(data_mod!$I$2:$I$63=A9),(data_mod!$F$2:$F$63="a")*N(data_mod!$P$2:$P$63=A9))</f>
        <v>0</v>
      </c>
      <c r="F9" cm="1">
        <f t="array" ref="F9">SUM((data_mod!$F$2:$F$63="none")*N(data_mod!$I$2:$I$63=A9),(data_mod!$F$2:$F$63="none")*N(data_mod!$P$2:$P$63=A9))</f>
        <v>3</v>
      </c>
      <c r="G9" s="32">
        <f t="shared" si="0"/>
        <v>0.4</v>
      </c>
      <c r="H9" s="1" cm="1">
        <f t="array" ref="H9">SUM((data_mod!$L$2:$L$63)*N(data_mod!$I$2:$I$63=A9),(data_mod!$S$2:$S$63)*N(data_mod!$P$2:PY$63=A9))</f>
        <v>21</v>
      </c>
      <c r="I9" cm="1">
        <f t="array" ref="I9">SUM((data_mod!$K$2:$K$63)*N(data_mod!$I$2:$I$63=A9),(data_mod!$R$2:$R$63)*N(data_mod!$P$2:PY$63=A9))</f>
        <v>12</v>
      </c>
      <c r="J9" cm="1">
        <f t="array" ref="J9">SUM((data_mod!$R$2:$R$63)*N(data_mod!$I$2:$I$63=A9),(data_mod!$K$2:$K$63)*N(data_mod!$P$2:PY$63=A9))</f>
        <v>15</v>
      </c>
      <c r="K9" s="25">
        <f t="shared" si="1"/>
        <v>1.25</v>
      </c>
    </row>
    <row r="10" spans="1:11" x14ac:dyDescent="0.25">
      <c r="A10" s="1" t="s">
        <v>79</v>
      </c>
      <c r="B10" t="str">
        <f>VLOOKUP(A10,'Player-Force'!A7:B32,2,0)</f>
        <v>Brian Wilson</v>
      </c>
      <c r="C10" s="18" cm="1">
        <f t="array" ref="C10">SUM(N(data_mod!$I$2:$I$63=A10),N(data_mod!$P$2:$P$63=A10))</f>
        <v>5</v>
      </c>
      <c r="D10" s="1" cm="1">
        <f t="array" ref="D10">SUM((data_mod!$F$2:$F$63="a")*N(data_mod!$I$2:$I$63=A10),(data_mod!$F$2:$F$63="b")*N(data_mod!$P$2:$P$63=A10))</f>
        <v>2</v>
      </c>
      <c r="E10" cm="1">
        <f t="array" ref="E10">SUM((data_mod!$F$2:$F$63="b")*N(data_mod!$I$2:$I$63=A10),(data_mod!$F$2:$F$63="a")*N(data_mod!$P$2:$P$63=A10))</f>
        <v>2</v>
      </c>
      <c r="F10" cm="1">
        <f t="array" ref="F10">SUM((data_mod!$F$2:$F$63="none")*N(data_mod!$I$2:$I$63=A10),(data_mod!$F$2:$F$63="none")*N(data_mod!$P$2:$P$63=A10))</f>
        <v>1</v>
      </c>
      <c r="G10" s="32">
        <f t="shared" si="0"/>
        <v>0.4</v>
      </c>
      <c r="H10" s="1" cm="1">
        <f t="array" ref="H10">SUM((data_mod!$L$2:$L$63)*N(data_mod!$I$2:$I$63=A10),(data_mod!$S$2:$S$63)*N(data_mod!$P$2:PY$63=A10))</f>
        <v>21</v>
      </c>
      <c r="I10" cm="1">
        <f t="array" ref="I10">SUM((data_mod!$K$2:$K$63)*N(data_mod!$I$2:$I$63=A10),(data_mod!$R$2:$R$63)*N(data_mod!$P$2:PY$63=A10))</f>
        <v>5</v>
      </c>
      <c r="J10" cm="1">
        <f t="array" ref="J10">SUM((data_mod!$R$2:$R$63)*N(data_mod!$I$2:$I$63=A10),(data_mod!$K$2:$K$63)*N(data_mod!$P$2:PY$63=A10))</f>
        <v>10</v>
      </c>
      <c r="K10" s="25">
        <f t="shared" si="1"/>
        <v>2</v>
      </c>
    </row>
    <row r="11" spans="1:11" x14ac:dyDescent="0.25">
      <c r="A11" s="1" t="s">
        <v>75</v>
      </c>
      <c r="B11" t="str">
        <f>VLOOKUP(A11,'Player-Force'!A18:B43,2,0)</f>
        <v>Laurence Kettle</v>
      </c>
      <c r="C11" s="18" cm="1">
        <f t="array" ref="C11">SUM(N(data_mod!$I$2:$I$63=A11),N(data_mod!$P$2:$P$63=A11))</f>
        <v>5</v>
      </c>
      <c r="D11" s="1" cm="1">
        <f t="array" ref="D11">SUM((data_mod!$F$2:$F$63="a")*N(data_mod!$I$2:$I$63=A11),(data_mod!$F$2:$F$63="b")*N(data_mod!$P$2:$P$63=A11))</f>
        <v>2</v>
      </c>
      <c r="E11" cm="1">
        <f t="array" ref="E11">SUM((data_mod!$F$2:$F$63="b")*N(data_mod!$I$2:$I$63=A11),(data_mod!$F$2:$F$63="a")*N(data_mod!$P$2:$P$63=A11))</f>
        <v>1</v>
      </c>
      <c r="F11" cm="1">
        <f t="array" ref="F11">SUM((data_mod!$F$2:$F$63="none")*N(data_mod!$I$2:$I$63=A11),(data_mod!$F$2:$F$63="none")*N(data_mod!$P$2:$P$63=A11))</f>
        <v>2</v>
      </c>
      <c r="G11" s="32">
        <f t="shared" si="0"/>
        <v>0.4</v>
      </c>
      <c r="H11" s="1" cm="1">
        <f t="array" ref="H11">SUM((data_mod!$L$2:$L$63)*N(data_mod!$I$2:$I$63=A11),(data_mod!$S$2:$S$63)*N(data_mod!$P$2:PY$63=A11))</f>
        <v>21</v>
      </c>
      <c r="I11" cm="1">
        <f t="array" ref="I11">SUM((data_mod!$K$2:$K$63)*N(data_mod!$I$2:$I$63=A11),(data_mod!$R$2:$R$63)*N(data_mod!$P$2:PY$63=A11))</f>
        <v>13</v>
      </c>
      <c r="J11" cm="1">
        <f t="array" ref="J11">SUM((data_mod!$R$2:$R$63)*N(data_mod!$I$2:$I$63=A11),(data_mod!$K$2:$K$63)*N(data_mod!$P$2:PY$63=A11))</f>
        <v>18</v>
      </c>
      <c r="K11" s="25">
        <f t="shared" si="1"/>
        <v>1.3846153846153846</v>
      </c>
    </row>
    <row r="12" spans="1:11" x14ac:dyDescent="0.25">
      <c r="A12" s="1" t="s">
        <v>39</v>
      </c>
      <c r="B12" t="str">
        <f>VLOOKUP(A12,'Player-Force'!A15:B40,2,0)</f>
        <v>Keith Martin-Smith</v>
      </c>
      <c r="C12" s="18" cm="1">
        <f t="array" ref="C12">SUM(N(data_mod!$I$2:$I$63=A12),N(data_mod!$P$2:$P$63=A12))</f>
        <v>5</v>
      </c>
      <c r="D12" s="1" cm="1">
        <f t="array" ref="D12">SUM((data_mod!$F$2:$F$63="a")*N(data_mod!$I$2:$I$63=A12),(data_mod!$F$2:$F$63="b")*N(data_mod!$P$2:$P$63=A12))</f>
        <v>2</v>
      </c>
      <c r="E12" cm="1">
        <f t="array" ref="E12">SUM((data_mod!$F$2:$F$63="b")*N(data_mod!$I$2:$I$63=A12),(data_mod!$F$2:$F$63="a")*N(data_mod!$P$2:$P$63=A12))</f>
        <v>1</v>
      </c>
      <c r="F12" cm="1">
        <f t="array" ref="F12">SUM((data_mod!$F$2:$F$63="none")*N(data_mod!$I$2:$I$63=A12),(data_mod!$F$2:$F$63="none")*N(data_mod!$P$2:$P$63=A12))</f>
        <v>2</v>
      </c>
      <c r="G12" s="32">
        <f t="shared" si="0"/>
        <v>0.4</v>
      </c>
      <c r="H12" s="1" cm="1">
        <f t="array" ref="H12">SUM((data_mod!$L$2:$L$63)*N(data_mod!$I$2:$I$63=A12),(data_mod!$S$2:$S$63)*N(data_mod!$P$2:PY$63=A12))</f>
        <v>20</v>
      </c>
      <c r="I12" cm="1">
        <f t="array" ref="I12">SUM((data_mod!$K$2:$K$63)*N(data_mod!$I$2:$I$63=A12),(data_mod!$R$2:$R$63)*N(data_mod!$P$2:PY$63=A12))</f>
        <v>9</v>
      </c>
      <c r="J12" cm="1">
        <f t="array" ref="J12">SUM((data_mod!$R$2:$R$63)*N(data_mod!$I$2:$I$63=A12),(data_mod!$K$2:$K$63)*N(data_mod!$P$2:PY$63=A12))</f>
        <v>8</v>
      </c>
      <c r="K12" s="25">
        <f t="shared" si="1"/>
        <v>0.88888888888888884</v>
      </c>
    </row>
    <row r="13" spans="1:11" x14ac:dyDescent="0.25">
      <c r="A13" s="1" t="s">
        <v>70</v>
      </c>
      <c r="B13" t="str">
        <f>VLOOKUP(A13,'Player-Force'!A17:B42,2,0)</f>
        <v>Krzysztof Kuczerawy</v>
      </c>
      <c r="C13" s="18" cm="1">
        <f t="array" ref="C13">SUM(N(data_mod!$I$2:$I$63=A13),N(data_mod!$P$2:$P$63=A13))</f>
        <v>5</v>
      </c>
      <c r="D13" s="1" cm="1">
        <f t="array" ref="D13">SUM((data_mod!$F$2:$F$63="a")*N(data_mod!$I$2:$I$63=A13),(data_mod!$F$2:$F$63="b")*N(data_mod!$P$2:$P$63=A13))</f>
        <v>2</v>
      </c>
      <c r="E13" cm="1">
        <f t="array" ref="E13">SUM((data_mod!$F$2:$F$63="b")*N(data_mod!$I$2:$I$63=A13),(data_mod!$F$2:$F$63="a")*N(data_mod!$P$2:$P$63=A13))</f>
        <v>2</v>
      </c>
      <c r="F13" cm="1">
        <f t="array" ref="F13">SUM((data_mod!$F$2:$F$63="none")*N(data_mod!$I$2:$I$63=A13),(data_mod!$F$2:$F$63="none")*N(data_mod!$P$2:$P$63=A13))</f>
        <v>1</v>
      </c>
      <c r="G13" s="32">
        <f t="shared" si="0"/>
        <v>0.4</v>
      </c>
      <c r="H13" s="1" cm="1">
        <f t="array" ref="H13">SUM((data_mod!$L$2:$L$63)*N(data_mod!$I$2:$I$63=A13),(data_mod!$S$2:$S$63)*N(data_mod!$P$2:PY$63=A13))</f>
        <v>20</v>
      </c>
      <c r="I13" cm="1">
        <f t="array" ref="I13">SUM((data_mod!$K$2:$K$63)*N(data_mod!$I$2:$I$63=A13),(data_mod!$R$2:$R$63)*N(data_mod!$P$2:PY$63=A13))</f>
        <v>16</v>
      </c>
      <c r="J13" cm="1">
        <f t="array" ref="J13">SUM((data_mod!$R$2:$R$63)*N(data_mod!$I$2:$I$63=A13),(data_mod!$K$2:$K$63)*N(data_mod!$P$2:PY$63=A13))</f>
        <v>15</v>
      </c>
      <c r="K13" s="25">
        <f t="shared" si="1"/>
        <v>0.9375</v>
      </c>
    </row>
    <row r="14" spans="1:11" x14ac:dyDescent="0.25">
      <c r="A14" s="1" t="s">
        <v>89</v>
      </c>
      <c r="B14" t="str">
        <f>VLOOKUP(A14,'Player-Force'!A27:B52,2,0)</f>
        <v>Szymon Granat</v>
      </c>
      <c r="C14" s="18" cm="1">
        <f t="array" ref="C14">SUM(N(data_mod!$I$2:$I$63=A14),N(data_mod!$P$2:$P$63=A14))</f>
        <v>5</v>
      </c>
      <c r="D14" s="1" cm="1">
        <f t="array" ref="D14">SUM((data_mod!$F$2:$F$63="a")*N(data_mod!$I$2:$I$63=A14),(data_mod!$F$2:$F$63="b")*N(data_mod!$P$2:$P$63=A14))</f>
        <v>2</v>
      </c>
      <c r="E14" cm="1">
        <f t="array" ref="E14">SUM((data_mod!$F$2:$F$63="b")*N(data_mod!$I$2:$I$63=A14),(data_mod!$F$2:$F$63="a")*N(data_mod!$P$2:$P$63=A14))</f>
        <v>2</v>
      </c>
      <c r="F14" cm="1">
        <f t="array" ref="F14">SUM((data_mod!$F$2:$F$63="none")*N(data_mod!$I$2:$I$63=A14),(data_mod!$F$2:$F$63="none")*N(data_mod!$P$2:$P$63=A14))</f>
        <v>1</v>
      </c>
      <c r="G14" s="32">
        <f t="shared" si="0"/>
        <v>0.4</v>
      </c>
      <c r="H14" s="1" cm="1">
        <f t="array" ref="H14">SUM((data_mod!$L$2:$L$63)*N(data_mod!$I$2:$I$63=A14),(data_mod!$S$2:$S$63)*N(data_mod!$P$2:PY$63=A14))</f>
        <v>20</v>
      </c>
      <c r="I14" cm="1">
        <f t="array" ref="I14">SUM((data_mod!$K$2:$K$63)*N(data_mod!$I$2:$I$63=A14),(data_mod!$R$2:$R$63)*N(data_mod!$P$2:PY$63=A14))</f>
        <v>20</v>
      </c>
      <c r="J14" cm="1">
        <f t="array" ref="J14">SUM((data_mod!$R$2:$R$63)*N(data_mod!$I$2:$I$63=A14),(data_mod!$K$2:$K$63)*N(data_mod!$P$2:PY$63=A14))</f>
        <v>11</v>
      </c>
      <c r="K14" s="25">
        <f t="shared" si="1"/>
        <v>0.55000000000000004</v>
      </c>
    </row>
    <row r="15" spans="1:11" x14ac:dyDescent="0.25">
      <c r="A15" s="1" t="s">
        <v>63</v>
      </c>
      <c r="B15" t="str">
        <f>VLOOKUP(A15,'Player-Force'!A6:B31,2,0)</f>
        <v>Anthony Himycz</v>
      </c>
      <c r="C15" s="18" cm="1">
        <f t="array" ref="C15">SUM(N(data_mod!$I$2:$I$63=A15),N(data_mod!$P$2:$P$63=A15))</f>
        <v>5</v>
      </c>
      <c r="D15" s="1" cm="1">
        <f t="array" ref="D15">SUM((data_mod!$F$2:$F$63="a")*N(data_mod!$I$2:$I$63=A15),(data_mod!$F$2:$F$63="b")*N(data_mod!$P$2:$P$63=A15))</f>
        <v>2</v>
      </c>
      <c r="E15" cm="1">
        <f t="array" ref="E15">SUM((data_mod!$F$2:$F$63="b")*N(data_mod!$I$2:$I$63=A15),(data_mod!$F$2:$F$63="a")*N(data_mod!$P$2:$P$63=A15))</f>
        <v>2</v>
      </c>
      <c r="F15" cm="1">
        <f t="array" ref="F15">SUM((data_mod!$F$2:$F$63="none")*N(data_mod!$I$2:$I$63=A15),(data_mod!$F$2:$F$63="none")*N(data_mod!$P$2:$P$63=A15))</f>
        <v>1</v>
      </c>
      <c r="G15" s="32">
        <f t="shared" si="0"/>
        <v>0.4</v>
      </c>
      <c r="H15" s="1" cm="1">
        <f t="array" ref="H15">SUM((data_mod!$L$2:$L$63)*N(data_mod!$I$2:$I$63=A15),(data_mod!$S$2:$S$63)*N(data_mod!$P$2:PY$63=A15))</f>
        <v>19</v>
      </c>
      <c r="I15" cm="1">
        <f t="array" ref="I15">SUM((data_mod!$K$2:$K$63)*N(data_mod!$I$2:$I$63=A15),(data_mod!$R$2:$R$63)*N(data_mod!$P$2:PY$63=A15))</f>
        <v>10</v>
      </c>
      <c r="J15" cm="1">
        <f t="array" ref="J15">SUM((data_mod!$R$2:$R$63)*N(data_mod!$I$2:$I$63=A15),(data_mod!$K$2:$K$63)*N(data_mod!$P$2:PY$63=A15))</f>
        <v>4</v>
      </c>
      <c r="K15" s="25">
        <f t="shared" si="1"/>
        <v>0.4</v>
      </c>
    </row>
    <row r="16" spans="1:11" x14ac:dyDescent="0.25">
      <c r="A16" s="1" t="s">
        <v>42</v>
      </c>
      <c r="B16" t="str">
        <f>VLOOKUP(A16,'Player-Force'!A22:B47,2,0)</f>
        <v>Mark Taylor</v>
      </c>
      <c r="C16" s="18" cm="1">
        <f t="array" ref="C16">SUM(N(data_mod!$I$2:$I$63=A16),N(data_mod!$P$2:$P$63=A16))</f>
        <v>5</v>
      </c>
      <c r="D16" s="1" cm="1">
        <f t="array" ref="D16">SUM((data_mod!$F$2:$F$63="a")*N(data_mod!$I$2:$I$63=A16),(data_mod!$F$2:$F$63="b")*N(data_mod!$P$2:$P$63=A16))</f>
        <v>1</v>
      </c>
      <c r="E16" cm="1">
        <f t="array" ref="E16">SUM((data_mod!$F$2:$F$63="b")*N(data_mod!$I$2:$I$63=A16),(data_mod!$F$2:$F$63="a")*N(data_mod!$P$2:$P$63=A16))</f>
        <v>4</v>
      </c>
      <c r="F16" cm="1">
        <f t="array" ref="F16">SUM((data_mod!$F$2:$F$63="none")*N(data_mod!$I$2:$I$63=A16),(data_mod!$F$2:$F$63="none")*N(data_mod!$P$2:$P$63=A16))</f>
        <v>0</v>
      </c>
      <c r="G16" s="32">
        <f t="shared" si="0"/>
        <v>0.2</v>
      </c>
      <c r="H16" s="1" cm="1">
        <f t="array" ref="H16">SUM((data_mod!$L$2:$L$63)*N(data_mod!$I$2:$I$63=A16),(data_mod!$S$2:$S$63)*N(data_mod!$P$2:PY$63=A16))</f>
        <v>19</v>
      </c>
      <c r="I16" cm="1">
        <f t="array" ref="I16">SUM((data_mod!$K$2:$K$63)*N(data_mod!$I$2:$I$63=A16),(data_mod!$R$2:$R$63)*N(data_mod!$P$2:PY$63=A16))</f>
        <v>20</v>
      </c>
      <c r="J16" cm="1">
        <f t="array" ref="J16">SUM((data_mod!$R$2:$R$63)*N(data_mod!$I$2:$I$63=A16),(data_mod!$K$2:$K$63)*N(data_mod!$P$2:PY$63=A16))</f>
        <v>17</v>
      </c>
      <c r="K16" s="25">
        <f t="shared" si="1"/>
        <v>0.85</v>
      </c>
    </row>
    <row r="17" spans="1:11" x14ac:dyDescent="0.25">
      <c r="A17" s="1" t="s">
        <v>49</v>
      </c>
      <c r="B17" t="str">
        <f>VLOOKUP(A17,'Player-Force'!A10:B35,2,0)</f>
        <v>Frank Keast</v>
      </c>
      <c r="C17" s="18" cm="1">
        <f t="array" ref="C17">SUM(N(data_mod!$I$2:$I$63=A17),N(data_mod!$P$2:$P$63=A17))</f>
        <v>4</v>
      </c>
      <c r="D17" s="1" cm="1">
        <f t="array" ref="D17">SUM((data_mod!$F$2:$F$63="a")*N(data_mod!$I$2:$I$63=A17),(data_mod!$F$2:$F$63="b")*N(data_mod!$P$2:$P$63=A17))</f>
        <v>2</v>
      </c>
      <c r="E17" cm="1">
        <f t="array" ref="E17">SUM((data_mod!$F$2:$F$63="b")*N(data_mod!$I$2:$I$63=A17),(data_mod!$F$2:$F$63="a")*N(data_mod!$P$2:$P$63=A17))</f>
        <v>1</v>
      </c>
      <c r="F17" cm="1">
        <f t="array" ref="F17">SUM((data_mod!$F$2:$F$63="none")*N(data_mod!$I$2:$I$63=A17),(data_mod!$F$2:$F$63="none")*N(data_mod!$P$2:$P$63=A17))</f>
        <v>1</v>
      </c>
      <c r="G17" s="32">
        <f t="shared" si="0"/>
        <v>0.5</v>
      </c>
      <c r="H17" s="1" cm="1">
        <f t="array" ref="H17">SUM((data_mod!$L$2:$L$63)*N(data_mod!$I$2:$I$63=A17),(data_mod!$S$2:$S$63)*N(data_mod!$P$2:PY$63=A17))</f>
        <v>18</v>
      </c>
      <c r="I17" cm="1">
        <f t="array" ref="I17">SUM((data_mod!$K$2:$K$63)*N(data_mod!$I$2:$I$63=A17),(data_mod!$R$2:$R$63)*N(data_mod!$P$2:PY$63=A17))</f>
        <v>11</v>
      </c>
      <c r="J17" cm="1">
        <f t="array" ref="J17">SUM((data_mod!$R$2:$R$63)*N(data_mod!$I$2:$I$63=A17),(data_mod!$K$2:$K$63)*N(data_mod!$P$2:PY$63=A17))</f>
        <v>12</v>
      </c>
      <c r="K17" s="25">
        <f t="shared" si="1"/>
        <v>1.0909090909090908</v>
      </c>
    </row>
    <row r="18" spans="1:11" x14ac:dyDescent="0.25">
      <c r="A18" s="1" t="s">
        <v>47</v>
      </c>
      <c r="B18" t="str">
        <f>VLOOKUP(A18,'Player-Force'!A23:B48,2,0)</f>
        <v>Peter McCarroll</v>
      </c>
      <c r="C18" s="18" cm="1">
        <f t="array" ref="C18">SUM(N(data_mod!$I$2:$I$63=A18),N(data_mod!$P$2:$P$63=A18))</f>
        <v>5</v>
      </c>
      <c r="D18" s="1" cm="1">
        <f t="array" ref="D18">SUM((data_mod!$F$2:$F$63="a")*N(data_mod!$I$2:$I$63=A18),(data_mod!$F$2:$F$63="b")*N(data_mod!$P$2:$P$63=A18))</f>
        <v>1</v>
      </c>
      <c r="E18" cm="1">
        <f t="array" ref="E18">SUM((data_mod!$F$2:$F$63="b")*N(data_mod!$I$2:$I$63=A18),(data_mod!$F$2:$F$63="a")*N(data_mod!$P$2:$P$63=A18))</f>
        <v>3</v>
      </c>
      <c r="F18" cm="1">
        <f t="array" ref="F18">SUM((data_mod!$F$2:$F$63="none")*N(data_mod!$I$2:$I$63=A18),(data_mod!$F$2:$F$63="none")*N(data_mod!$P$2:$P$63=A18))</f>
        <v>1</v>
      </c>
      <c r="G18" s="32">
        <f t="shared" si="0"/>
        <v>0.2</v>
      </c>
      <c r="H18" s="1" cm="1">
        <f t="array" ref="H18">SUM((data_mod!$L$2:$L$63)*N(data_mod!$I$2:$I$63=A18),(data_mod!$S$2:$S$63)*N(data_mod!$P$2:PY$63=A18))</f>
        <v>17</v>
      </c>
      <c r="I18" cm="1">
        <f t="array" ref="I18">SUM((data_mod!$K$2:$K$63)*N(data_mod!$I$2:$I$63=A18),(data_mod!$R$2:$R$63)*N(data_mod!$P$2:PY$63=A18))</f>
        <v>11</v>
      </c>
      <c r="J18" cm="1">
        <f t="array" ref="J18">SUM((data_mod!$R$2:$R$63)*N(data_mod!$I$2:$I$63=A18),(data_mod!$K$2:$K$63)*N(data_mod!$P$2:PY$63=A18))</f>
        <v>11</v>
      </c>
      <c r="K18" s="25">
        <f t="shared" si="1"/>
        <v>1</v>
      </c>
    </row>
    <row r="19" spans="1:11" x14ac:dyDescent="0.25">
      <c r="A19" s="1" t="s">
        <v>54</v>
      </c>
      <c r="B19" t="str">
        <f>VLOOKUP(A19,'Player-Force'!A13:B38,2,0)</f>
        <v xml:space="preserve">Jakub Wlosowicz </v>
      </c>
      <c r="C19" s="18" cm="1">
        <f t="array" ref="C19">SUM(N(data_mod!$I$2:$I$63=A19),N(data_mod!$P$2:$P$63=A19))</f>
        <v>5</v>
      </c>
      <c r="D19" s="1" cm="1">
        <f t="array" ref="D19">SUM((data_mod!$F$2:$F$63="a")*N(data_mod!$I$2:$I$63=A19),(data_mod!$F$2:$F$63="b")*N(data_mod!$P$2:$P$63=A19))</f>
        <v>1</v>
      </c>
      <c r="E19" cm="1">
        <f t="array" ref="E19">SUM((data_mod!$F$2:$F$63="b")*N(data_mod!$I$2:$I$63=A19),(data_mod!$F$2:$F$63="a")*N(data_mod!$P$2:$P$63=A19))</f>
        <v>1</v>
      </c>
      <c r="F19" cm="1">
        <f t="array" ref="F19">SUM((data_mod!$F$2:$F$63="none")*N(data_mod!$I$2:$I$63=A19),(data_mod!$F$2:$F$63="none")*N(data_mod!$P$2:$P$63=A19))</f>
        <v>3</v>
      </c>
      <c r="G19" s="32">
        <f t="shared" si="0"/>
        <v>0.2</v>
      </c>
      <c r="H19" s="1" cm="1">
        <f t="array" ref="H19">SUM((data_mod!$L$2:$L$63)*N(data_mod!$I$2:$I$63=A19),(data_mod!$S$2:$S$63)*N(data_mod!$P$2:PY$63=A19))</f>
        <v>14</v>
      </c>
      <c r="I19" cm="1">
        <f t="array" ref="I19">SUM((data_mod!$K$2:$K$63)*N(data_mod!$I$2:$I$63=A19),(data_mod!$R$2:$R$63)*N(data_mod!$P$2:PY$63=A19))</f>
        <v>5</v>
      </c>
      <c r="J19" cm="1">
        <f t="array" ref="J19">SUM((data_mod!$R$2:$R$63)*N(data_mod!$I$2:$I$63=A19),(data_mod!$K$2:$K$63)*N(data_mod!$P$2:PY$63=A19))</f>
        <v>8</v>
      </c>
      <c r="K19" s="25">
        <f t="shared" si="1"/>
        <v>1.6</v>
      </c>
    </row>
    <row r="20" spans="1:11" x14ac:dyDescent="0.25">
      <c r="A20" s="1" t="s">
        <v>85</v>
      </c>
      <c r="B20" t="str">
        <f>VLOOKUP(A20,'Player-Force'!A14:B39,2,0)</f>
        <v>Jordan Williamson</v>
      </c>
      <c r="C20" s="18" cm="1">
        <f t="array" ref="C20">SUM(N(data_mod!$I$2:$I$63=A20),N(data_mod!$P$2:$P$63=A20))</f>
        <v>5</v>
      </c>
      <c r="D20" s="1" cm="1">
        <f t="array" ref="D20">SUM((data_mod!$F$2:$F$63="a")*N(data_mod!$I$2:$I$63=A20),(data_mod!$F$2:$F$63="b")*N(data_mod!$P$2:$P$63=A20))</f>
        <v>1</v>
      </c>
      <c r="E20" cm="1">
        <f t="array" ref="E20">SUM((data_mod!$F$2:$F$63="b")*N(data_mod!$I$2:$I$63=A20),(data_mod!$F$2:$F$63="a")*N(data_mod!$P$2:$P$63=A20))</f>
        <v>4</v>
      </c>
      <c r="F20" cm="1">
        <f t="array" ref="F20">SUM((data_mod!$F$2:$F$63="none")*N(data_mod!$I$2:$I$63=A20),(data_mod!$F$2:$F$63="none")*N(data_mod!$P$2:$P$63=A20))</f>
        <v>0</v>
      </c>
      <c r="G20" s="32">
        <f t="shared" si="0"/>
        <v>0.2</v>
      </c>
      <c r="H20" s="1" cm="1">
        <f t="array" ref="H20">SUM((data_mod!$L$2:$L$63)*N(data_mod!$I$2:$I$63=A20),(data_mod!$S$2:$S$63)*N(data_mod!$P$2:PY$63=A20))</f>
        <v>14</v>
      </c>
      <c r="I20" cm="1">
        <f t="array" ref="I20">SUM((data_mod!$K$2:$K$63)*N(data_mod!$I$2:$I$63=A20),(data_mod!$R$2:$R$63)*N(data_mod!$P$2:PY$63=A20))</f>
        <v>12</v>
      </c>
      <c r="J20" cm="1">
        <f t="array" ref="J20">SUM((data_mod!$R$2:$R$63)*N(data_mod!$I$2:$I$63=A20),(data_mod!$K$2:$K$63)*N(data_mod!$P$2:PY$63=A20))</f>
        <v>14</v>
      </c>
      <c r="K20" s="25">
        <f t="shared" si="1"/>
        <v>1.1666666666666667</v>
      </c>
    </row>
    <row r="21" spans="1:11" x14ac:dyDescent="0.25">
      <c r="A21" s="1" t="s">
        <v>81</v>
      </c>
      <c r="B21" t="str">
        <f>VLOOKUP(A21,'Player-Force'!A21:B46,2,0)</f>
        <v>Leo Humphreys</v>
      </c>
      <c r="C21" s="18" cm="1">
        <f t="array" ref="C21">SUM(N(data_mod!$I$2:$I$63=A21),N(data_mod!$P$2:$P$63=A21))</f>
        <v>5</v>
      </c>
      <c r="D21" s="1" cm="1">
        <f t="array" ref="D21">SUM((data_mod!$F$2:$F$63="a")*N(data_mod!$I$2:$I$63=A21),(data_mod!$F$2:$F$63="b")*N(data_mod!$P$2:$P$63=A21))</f>
        <v>1</v>
      </c>
      <c r="E21" cm="1">
        <f t="array" ref="E21">SUM((data_mod!$F$2:$F$63="b")*N(data_mod!$I$2:$I$63=A21),(data_mod!$F$2:$F$63="a")*N(data_mod!$P$2:$P$63=A21))</f>
        <v>3</v>
      </c>
      <c r="F21" cm="1">
        <f t="array" ref="F21">SUM((data_mod!$F$2:$F$63="none")*N(data_mod!$I$2:$I$63=A21),(data_mod!$F$2:$F$63="none")*N(data_mod!$P$2:$P$63=A21))</f>
        <v>1</v>
      </c>
      <c r="G21" s="32">
        <f t="shared" si="0"/>
        <v>0.2</v>
      </c>
      <c r="H21" s="1" cm="1">
        <f t="array" ref="H21">SUM((data_mod!$L$2:$L$63)*N(data_mod!$I$2:$I$63=A21),(data_mod!$S$2:$S$63)*N(data_mod!$P$2:PY$63=A21))</f>
        <v>14</v>
      </c>
      <c r="I21" cm="1">
        <f t="array" ref="I21">SUM((data_mod!$K$2:$K$63)*N(data_mod!$I$2:$I$63=A21),(data_mod!$R$2:$R$63)*N(data_mod!$P$2:PY$63=A21))</f>
        <v>15</v>
      </c>
      <c r="J21" cm="1">
        <f t="array" ref="J21">SUM((data_mod!$R$2:$R$63)*N(data_mod!$I$2:$I$63=A21),(data_mod!$K$2:$K$63)*N(data_mod!$P$2:PY$63=A21))</f>
        <v>7</v>
      </c>
      <c r="K21" s="25">
        <f t="shared" si="1"/>
        <v>0.46666666666666667</v>
      </c>
    </row>
    <row r="22" spans="1:11" x14ac:dyDescent="0.25">
      <c r="A22" s="1" t="s">
        <v>24</v>
      </c>
      <c r="B22" t="str">
        <f>VLOOKUP(A22,'Player-Force'!A8:B33,2,0)</f>
        <v>Chris Stone</v>
      </c>
      <c r="C22" s="18" cm="1">
        <f t="array" ref="C22">SUM(N(data_mod!$I$2:$I$63=A22),N(data_mod!$P$2:$P$63=A22))</f>
        <v>5</v>
      </c>
      <c r="D22" s="1" cm="1">
        <f t="array" ref="D22">SUM((data_mod!$F$2:$F$63="a")*N(data_mod!$I$2:$I$63=A22),(data_mod!$F$2:$F$63="b")*N(data_mod!$P$2:$P$63=A22))</f>
        <v>1</v>
      </c>
      <c r="E22" cm="1">
        <f t="array" ref="E22">SUM((data_mod!$F$2:$F$63="b")*N(data_mod!$I$2:$I$63=A22),(data_mod!$F$2:$F$63="a")*N(data_mod!$P$2:$P$63=A22))</f>
        <v>3</v>
      </c>
      <c r="F22" cm="1">
        <f t="array" ref="F22">SUM((data_mod!$F$2:$F$63="none")*N(data_mod!$I$2:$I$63=A22),(data_mod!$F$2:$F$63="none")*N(data_mod!$P$2:$P$63=A22))</f>
        <v>1</v>
      </c>
      <c r="G22" s="32">
        <f t="shared" si="0"/>
        <v>0.2</v>
      </c>
      <c r="H22" s="1" cm="1">
        <f t="array" ref="H22">SUM((data_mod!$L$2:$L$63)*N(data_mod!$I$2:$I$63=A22),(data_mod!$S$2:$S$63)*N(data_mod!$P$2:PY$63=A22))</f>
        <v>12</v>
      </c>
      <c r="I22" cm="1">
        <f t="array" ref="I22">SUM((data_mod!$K$2:$K$63)*N(data_mod!$I$2:$I$63=A22),(data_mod!$R$2:$R$63)*N(data_mod!$P$2:PY$63=A22))</f>
        <v>10</v>
      </c>
      <c r="J22" cm="1">
        <f t="array" ref="J22">SUM((data_mod!$R$2:$R$63)*N(data_mod!$I$2:$I$63=A22),(data_mod!$K$2:$K$63)*N(data_mod!$P$2:PY$63=A22))</f>
        <v>8</v>
      </c>
      <c r="K22" s="25">
        <f t="shared" si="1"/>
        <v>0.8</v>
      </c>
    </row>
    <row r="23" spans="1:11" x14ac:dyDescent="0.25">
      <c r="A23" s="1" t="s">
        <v>28</v>
      </c>
      <c r="B23" t="str">
        <f>VLOOKUP(A23,'Player-Force'!A11:B36,2,0)</f>
        <v>Gareth Lewis</v>
      </c>
      <c r="C23" s="18" cm="1">
        <f t="array" ref="C23">SUM(N(data_mod!$I$2:$I$63=A23),N(data_mod!$P$2:$P$63=A23))</f>
        <v>4</v>
      </c>
      <c r="D23" s="1" cm="1">
        <f t="array" ref="D23">SUM((data_mod!$F$2:$F$63="a")*N(data_mod!$I$2:$I$63=A23),(data_mod!$F$2:$F$63="b")*N(data_mod!$P$2:$P$63=A23))</f>
        <v>1</v>
      </c>
      <c r="E23" cm="1">
        <f t="array" ref="E23">SUM((data_mod!$F$2:$F$63="b")*N(data_mod!$I$2:$I$63=A23),(data_mod!$F$2:$F$63="a")*N(data_mod!$P$2:$P$63=A23))</f>
        <v>1</v>
      </c>
      <c r="F23" cm="1">
        <f t="array" ref="F23">SUM((data_mod!$F$2:$F$63="none")*N(data_mod!$I$2:$I$63=A23),(data_mod!$F$2:$F$63="none")*N(data_mod!$P$2:$P$63=A23))</f>
        <v>2</v>
      </c>
      <c r="G23" s="32">
        <f t="shared" si="0"/>
        <v>0.25</v>
      </c>
      <c r="H23" s="1" cm="1">
        <f t="array" ref="H23">SUM((data_mod!$L$2:$L$63)*N(data_mod!$I$2:$I$63=A23),(data_mod!$S$2:$S$63)*N(data_mod!$P$2:PY$63=A23))</f>
        <v>12</v>
      </c>
      <c r="I23" cm="1">
        <f t="array" ref="I23">SUM((data_mod!$K$2:$K$63)*N(data_mod!$I$2:$I$63=A23),(data_mod!$R$2:$R$63)*N(data_mod!$P$2:PY$63=A23))</f>
        <v>10</v>
      </c>
      <c r="J23" cm="1">
        <f t="array" ref="J23">SUM((data_mod!$R$2:$R$63)*N(data_mod!$I$2:$I$63=A23),(data_mod!$K$2:$K$63)*N(data_mod!$P$2:PY$63=A23))</f>
        <v>8</v>
      </c>
      <c r="K23" s="25">
        <f t="shared" si="1"/>
        <v>0.8</v>
      </c>
    </row>
    <row r="24" spans="1:11" x14ac:dyDescent="0.25">
      <c r="A24" s="1" t="s">
        <v>52</v>
      </c>
      <c r="B24" t="str">
        <f>VLOOKUP(A24,'Player-Force'!A26:B51,2,0)</f>
        <v>Simon Peyton</v>
      </c>
      <c r="C24" s="18" cm="1">
        <f t="array" ref="C24">SUM(N(data_mod!$I$2:$I$63=A24),N(data_mod!$P$2:$P$63=A24))</f>
        <v>5</v>
      </c>
      <c r="D24" s="1" cm="1">
        <f t="array" ref="D24">SUM((data_mod!$F$2:$F$63="a")*N(data_mod!$I$2:$I$63=A24),(data_mod!$F$2:$F$63="b")*N(data_mod!$P$2:$P$63=A24))</f>
        <v>1</v>
      </c>
      <c r="E24" cm="1">
        <f t="array" ref="E24">SUM((data_mod!$F$2:$F$63="b")*N(data_mod!$I$2:$I$63=A24),(data_mod!$F$2:$F$63="a")*N(data_mod!$P$2:$P$63=A24))</f>
        <v>3</v>
      </c>
      <c r="F24" cm="1">
        <f t="array" ref="F24">SUM((data_mod!$F$2:$F$63="none")*N(data_mod!$I$2:$I$63=A24),(data_mod!$F$2:$F$63="none")*N(data_mod!$P$2:$P$63=A24))</f>
        <v>1</v>
      </c>
      <c r="G24" s="32">
        <f t="shared" si="0"/>
        <v>0.2</v>
      </c>
      <c r="H24" s="1" cm="1">
        <f t="array" ref="H24">SUM((data_mod!$L$2:$L$63)*N(data_mod!$I$2:$I$63=A24),(data_mod!$S$2:$S$63)*N(data_mod!$P$2:PY$63=A24))</f>
        <v>11</v>
      </c>
      <c r="I24" cm="1">
        <f t="array" ref="I24">SUM((data_mod!$K$2:$K$63)*N(data_mod!$I$2:$I$63=A24),(data_mod!$R$2:$R$63)*N(data_mod!$P$2:PY$63=A24))</f>
        <v>16</v>
      </c>
      <c r="J24" cm="1">
        <f t="array" ref="J24">SUM((data_mod!$R$2:$R$63)*N(data_mod!$I$2:$I$63=A24),(data_mod!$K$2:$K$63)*N(data_mod!$P$2:PY$63=A24))</f>
        <v>4</v>
      </c>
      <c r="K24" s="25">
        <f t="shared" si="1"/>
        <v>0.25</v>
      </c>
    </row>
    <row r="25" spans="1:11" x14ac:dyDescent="0.25">
      <c r="A25" s="1" t="s">
        <v>44</v>
      </c>
      <c r="B25" t="str">
        <f>VLOOKUP(A25,'Player-Force'!A5:B30,2,0)</f>
        <v>Andy Somerville</v>
      </c>
      <c r="C25" s="18" cm="1">
        <f t="array" ref="C25">SUM(N(data_mod!$I$2:$I$63=A25),N(data_mod!$P$2:$P$63=A25))</f>
        <v>5</v>
      </c>
      <c r="D25" s="1" cm="1">
        <f t="array" ref="D25">SUM((data_mod!$F$2:$F$63="a")*N(data_mod!$I$2:$I$63=A25),(data_mod!$F$2:$F$63="b")*N(data_mod!$P$2:$P$63=A25))</f>
        <v>0</v>
      </c>
      <c r="E25" cm="1">
        <f t="array" ref="E25">SUM((data_mod!$F$2:$F$63="b")*N(data_mod!$I$2:$I$63=A25),(data_mod!$F$2:$F$63="a")*N(data_mod!$P$2:$P$63=A25))</f>
        <v>4</v>
      </c>
      <c r="F25" cm="1">
        <f t="array" ref="F25">SUM((data_mod!$F$2:$F$63="none")*N(data_mod!$I$2:$I$63=A25),(data_mod!$F$2:$F$63="none")*N(data_mod!$P$2:$P$63=A25))</f>
        <v>1</v>
      </c>
      <c r="G25" s="32">
        <f t="shared" si="0"/>
        <v>0</v>
      </c>
      <c r="H25" s="1" cm="1">
        <f t="array" ref="H25">SUM((data_mod!$L$2:$L$63)*N(data_mod!$I$2:$I$63=A25),(data_mod!$S$2:$S$63)*N(data_mod!$P$2:PY$63=A25))</f>
        <v>9</v>
      </c>
      <c r="I25" cm="1">
        <f t="array" ref="I25">SUM((data_mod!$K$2:$K$63)*N(data_mod!$I$2:$I$63=A25),(data_mod!$R$2:$R$63)*N(data_mod!$P$2:PY$63=A25))</f>
        <v>10</v>
      </c>
      <c r="J25" cm="1">
        <f t="array" ref="J25">SUM((data_mod!$R$2:$R$63)*N(data_mod!$I$2:$I$63=A25),(data_mod!$K$2:$K$63)*N(data_mod!$P$2:PY$63=A25))</f>
        <v>10</v>
      </c>
      <c r="K25" s="25">
        <f t="shared" si="1"/>
        <v>1</v>
      </c>
    </row>
    <row r="26" spans="1:11" x14ac:dyDescent="0.25">
      <c r="A26" s="1" t="s">
        <v>59</v>
      </c>
      <c r="B26" t="str">
        <f>VLOOKUP(A26,'Player-Force'!A9:B34,2,0)</f>
        <v>David Burns</v>
      </c>
      <c r="C26" s="18" cm="1">
        <f t="array" ref="C26">SUM(N(data_mod!$I$2:$I$63=A26),N(data_mod!$P$2:$P$63=A26))</f>
        <v>2</v>
      </c>
      <c r="D26" s="1" cm="1">
        <f t="array" ref="D26">SUM((data_mod!$F$2:$F$63="a")*N(data_mod!$I$2:$I$63=A26),(data_mod!$F$2:$F$63="b")*N(data_mod!$P$2:$P$63=A26))</f>
        <v>1</v>
      </c>
      <c r="E26" cm="1">
        <f t="array" ref="E26">SUM((data_mod!$F$2:$F$63="b")*N(data_mod!$I$2:$I$63=A26),(data_mod!$F$2:$F$63="a")*N(data_mod!$P$2:$P$63=A26))</f>
        <v>1</v>
      </c>
      <c r="F26" cm="1">
        <f t="array" ref="F26">SUM((data_mod!$F$2:$F$63="none")*N(data_mod!$I$2:$I$63=A26),(data_mod!$F$2:$F$63="none")*N(data_mod!$P$2:$P$63=A26))</f>
        <v>0</v>
      </c>
      <c r="G26" s="32">
        <f t="shared" si="0"/>
        <v>0.5</v>
      </c>
      <c r="H26" s="1" cm="1">
        <f t="array" ref="H26">SUM((data_mod!$L$2:$L$63)*N(data_mod!$I$2:$I$63=A26),(data_mod!$S$2:$S$63)*N(data_mod!$P$2:PY$63=A26))</f>
        <v>9</v>
      </c>
      <c r="I26" cm="1">
        <f t="array" ref="I26">SUM((data_mod!$K$2:$K$63)*N(data_mod!$I$2:$I$63=A26),(data_mod!$R$2:$R$63)*N(data_mod!$P$2:PY$63=A26))</f>
        <v>4</v>
      </c>
      <c r="J26" cm="1">
        <f t="array" ref="J26">SUM((data_mod!$R$2:$R$63)*N(data_mod!$I$2:$I$63=A26),(data_mod!$K$2:$K$63)*N(data_mod!$P$2:PY$63=A26))</f>
        <v>2</v>
      </c>
      <c r="K26" s="25">
        <f t="shared" si="1"/>
        <v>0.5</v>
      </c>
    </row>
    <row r="27" spans="1:11" x14ac:dyDescent="0.25">
      <c r="A27" s="3" t="s">
        <v>57</v>
      </c>
      <c r="B27" s="2" t="str">
        <f>VLOOKUP(A27,'Player-Force'!A24:B49,2,0)</f>
        <v>Raymond Young</v>
      </c>
      <c r="C27" s="19" cm="1">
        <f t="array" ref="C27">SUM(N(data_mod!$I$2:$I$63=A27),N(data_mod!$P$2:$P$63=A27))</f>
        <v>5</v>
      </c>
      <c r="D27" s="3" cm="1">
        <f t="array" ref="D27">SUM((data_mod!$F$2:$F$63="a")*N(data_mod!$I$2:$I$63=A27),(data_mod!$F$2:$F$63="b")*N(data_mod!$P$2:$P$63=A27))</f>
        <v>0</v>
      </c>
      <c r="E27" s="2" cm="1">
        <f t="array" ref="E27">SUM((data_mod!$F$2:$F$63="b")*N(data_mod!$I$2:$I$63=A27),(data_mod!$F$2:$F$63="a")*N(data_mod!$P$2:$P$63=A27))</f>
        <v>3</v>
      </c>
      <c r="F27" s="2" cm="1">
        <f t="array" ref="F27">SUM((data_mod!$F$2:$F$63="none")*N(data_mod!$I$2:$I$63=A27),(data_mod!$F$2:$F$63="none")*N(data_mod!$P$2:$P$63=A27))</f>
        <v>2</v>
      </c>
      <c r="G27" s="17">
        <f t="shared" si="0"/>
        <v>0</v>
      </c>
      <c r="H27" s="3" cm="1">
        <f t="array" ref="H27">SUM((data_mod!$L$2:$L$63)*N(data_mod!$I$2:$I$63=A27),(data_mod!$S$2:$S$63)*N(data_mod!$P$2:PY$63=A27))</f>
        <v>7</v>
      </c>
      <c r="I27" s="2" cm="1">
        <f t="array" ref="I27">SUM((data_mod!$K$2:$K$63)*N(data_mod!$I$2:$I$63=A27),(data_mod!$R$2:$R$63)*N(data_mod!$P$2:PY$63=A27))</f>
        <v>15</v>
      </c>
      <c r="J27" s="2" cm="1">
        <f t="array" ref="J27">SUM((data_mod!$R$2:$R$63)*N(data_mod!$I$2:$I$63=A27),(data_mod!$K$2:$K$63)*N(data_mod!$P$2:PY$63=A27))</f>
        <v>6</v>
      </c>
      <c r="K27" s="13">
        <f t="shared" si="1"/>
        <v>0.4</v>
      </c>
    </row>
  </sheetData>
  <sheetProtection sheet="1" objects="1" scenarios="1"/>
  <autoFilter ref="A1:K1" xr:uid="{48C827D1-114F-49B7-959C-09343C0B41B4}">
    <sortState xmlns:xlrd2="http://schemas.microsoft.com/office/spreadsheetml/2017/richdata2" ref="A2:K27">
      <sortCondition descending="1" ref="H1"/>
    </sortState>
  </autoFilter>
  <conditionalFormatting sqref="B2:K27">
    <cfRule type="expression" dxfId="172" priority="2">
      <formula>$C2&lt;&gt;5</formula>
    </cfRule>
  </conditionalFormatting>
  <conditionalFormatting sqref="C2:C27">
    <cfRule type="cellIs" dxfId="171" priority="1" operator="notEqual">
      <formula>5</formula>
    </cfRule>
  </conditionalFormatting>
  <conditionalFormatting sqref="I2:I27">
    <cfRule type="top10" dxfId="170" priority="7" bottom="1" rank="5"/>
    <cfRule type="top10" dxfId="169" priority="8" rank="5"/>
  </conditionalFormatting>
  <conditionalFormatting sqref="J2:J27">
    <cfRule type="top10" dxfId="168" priority="5" rank="5"/>
    <cfRule type="top10" dxfId="167" priority="6" bottom="1" rank="5"/>
  </conditionalFormatting>
  <conditionalFormatting sqref="K2:K27">
    <cfRule type="top10" dxfId="166" priority="4" bottom="1" rank="5"/>
    <cfRule type="top10" dxfId="165" priority="9" rank="5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24B3-63AD-4E43-A43C-2ADE5A5836CC}">
  <dimension ref="A1:R31"/>
  <sheetViews>
    <sheetView workbookViewId="0">
      <selection activeCell="J10" sqref="J10"/>
    </sheetView>
  </sheetViews>
  <sheetFormatPr defaultRowHeight="15" x14ac:dyDescent="0.25"/>
  <cols>
    <col min="1" max="1" width="47.42578125" bestFit="1" customWidth="1"/>
    <col min="2" max="2" width="13.85546875" bestFit="1" customWidth="1"/>
    <col min="3" max="3" width="13" bestFit="1" customWidth="1"/>
    <col min="4" max="4" width="9" bestFit="1" customWidth="1"/>
    <col min="5" max="5" width="9.5703125" bestFit="1" customWidth="1"/>
    <col min="6" max="6" width="10.28515625" bestFit="1" customWidth="1"/>
    <col min="7" max="7" width="19.85546875" bestFit="1" customWidth="1"/>
    <col min="8" max="8" width="16.42578125" bestFit="1" customWidth="1"/>
    <col min="9" max="9" width="18.140625" bestFit="1" customWidth="1"/>
    <col min="10" max="10" width="20" bestFit="1" customWidth="1"/>
    <col min="11" max="11" width="18.140625" bestFit="1" customWidth="1"/>
    <col min="12" max="12" width="22.42578125" bestFit="1" customWidth="1"/>
    <col min="13" max="13" width="18.7109375" bestFit="1" customWidth="1"/>
    <col min="14" max="14" width="24.42578125" bestFit="1" customWidth="1"/>
    <col min="15" max="15" width="28.7109375" bestFit="1" customWidth="1"/>
    <col min="16" max="16" width="25" bestFit="1" customWidth="1"/>
    <col min="17" max="17" width="19.85546875" bestFit="1" customWidth="1"/>
    <col min="18" max="18" width="20" bestFit="1" customWidth="1"/>
  </cols>
  <sheetData>
    <row r="1" spans="1:18" ht="16.5" thickBot="1" x14ac:dyDescent="0.3">
      <c r="A1" s="46" t="s">
        <v>166</v>
      </c>
      <c r="B1" s="26" t="s">
        <v>181</v>
      </c>
      <c r="C1" s="27" t="s">
        <v>180</v>
      </c>
      <c r="D1" s="26" t="s">
        <v>179</v>
      </c>
      <c r="E1" s="5" t="s">
        <v>178</v>
      </c>
      <c r="F1" s="27" t="s">
        <v>177</v>
      </c>
      <c r="G1" s="26" t="s">
        <v>184</v>
      </c>
      <c r="H1" s="5" t="s">
        <v>182</v>
      </c>
      <c r="I1" s="5" t="s">
        <v>183</v>
      </c>
      <c r="J1" s="27" t="s">
        <v>176</v>
      </c>
      <c r="K1" s="26" t="s">
        <v>172</v>
      </c>
      <c r="L1" s="5" t="s">
        <v>193</v>
      </c>
      <c r="M1" s="27" t="s">
        <v>173</v>
      </c>
      <c r="N1" s="26" t="s">
        <v>196</v>
      </c>
      <c r="O1" s="5" t="s">
        <v>197</v>
      </c>
      <c r="P1" s="27" t="s">
        <v>198</v>
      </c>
      <c r="Q1" s="26" t="s">
        <v>195</v>
      </c>
      <c r="R1" s="6" t="s">
        <v>194</v>
      </c>
    </row>
    <row r="2" spans="1:18" x14ac:dyDescent="0.25">
      <c r="A2" s="45" t="s">
        <v>129</v>
      </c>
      <c r="B2" s="1" cm="1">
        <f t="array" ref="B2">SUM(N(_xlfn.VSTACK('Player-Force'!$F$3:$F$28,'Player-Force'!$G$3:$G$28,'Player-Force'!$J$3:$J$28,'Player-Force'!$K$3:$K$28)=A2))</f>
        <v>1</v>
      </c>
      <c r="C2" s="18" cm="1">
        <f t="array" ref="C2">SUM(_xlfn.BYROW(_xlfn.HSTACK(N(data_mod!$Y$2:$Y$63=A2),N(data_mod!$AA$2:$AA$63=A2)),_xlfn.LAMBDA(_xlpm.row,SUM(_xlpm.row))),_xlfn.BYROW(_xlfn.HSTACK(N(data_mod!$Z$2:$Z$63=A2),N(data_mod!$AB$2:$AB$63=A2)),_xlfn.LAMBDA(_xlpm.row,SUM(_xlpm.row))))</f>
        <v>3</v>
      </c>
      <c r="D2" s="44" cm="1">
        <f t="array" ref="D2">SUM((data_mod!$F$2:$F$63="a")*(_xlfn.BYROW(_xlfn.HSTACK(N(data_mod!$Y$2:$Y$63=A2),N(data_mod!$AA$2:$AA$63=A2)),_xlfn.LAMBDA(_xlpm.row,SUM(_xlpm.row)))),(data_mod!$F$2:$F$63="b")*(_xlfn.BYROW(_xlfn.HSTACK(N(data_mod!$Z$2:$Z$63=A2),N(data_mod!$AB$2:$AB$63=A2)),_xlfn.LAMBDA(_xlpm.row,SUM(_xlpm.row)))))/C2</f>
        <v>0.33333333333333331</v>
      </c>
      <c r="E2" s="31" cm="1">
        <f t="array" ref="E2">SUM((data_mod!$F$2:$F$63="b")*(_xlfn.BYROW(_xlfn.HSTACK(N(data_mod!$Y$2:$Y$63=A2),N(data_mod!$AA$2:$AA$63=A2)),_xlfn.LAMBDA(_xlpm.row,SUM(_xlpm.row)))),(data_mod!$F$2:$F$63="a")*(_xlfn.BYROW(_xlfn.HSTACK(N(data_mod!$Z$2:$Z$63=A2),N(data_mod!$AB$2:$AB$63=A2)),_xlfn.LAMBDA(_xlpm.row,SUM(_xlpm.row)))))/C2</f>
        <v>0.33333333333333331</v>
      </c>
      <c r="F2" s="32" cm="1">
        <f t="array" ref="F2">SUM((data_mod!$F$2:$F$63="none")*(_xlfn.BYROW(_xlfn.HSTACK(N(data_mod!$Y$2:$Y$63=A2),N(data_mod!$AA$2:$AA$63=A2)),_xlfn.LAMBDA(_xlpm.row,SUM(_xlpm.row)))),(data_mod!$F$2:$F$63="none")*(_xlfn.BYROW(_xlfn.HSTACK(N(data_mod!$Z$2:$Z$63=A2),N(data_mod!$AB$2:$AB$63=A2)),_xlfn.LAMBDA(_xlpm.row,SUM(_xlpm.row)))))/C2</f>
        <v>0.33333333333333331</v>
      </c>
      <c r="G2" s="34" cm="1">
        <f t="array" ref="G2">SUM((data_mod!$L$2:$L$63)*(_xlfn.BYROW(_xlfn.HSTACK(N(data_mod!$Y$2:$Y$63=A2),N(data_mod!$AA$2:$AA$63=A2)),_xlfn.LAMBDA(_xlpm.row,SUM(_xlpm.row)))),(data_mod!$S$2:$S$63)*(_xlfn.BYROW(_xlfn.HSTACK(N(data_mod!$Z$2:$Z$63=A2),N(data_mod!$AB$2:$AB$63=A2)),_xlfn.LAMBDA(_xlpm.row,SUM(_xlpm.row)))))/C2</f>
        <v>4</v>
      </c>
      <c r="H2" s="28" cm="1">
        <f t="array" ref="H2">SUM((data_mod!$K$2:$K$63)*(_xlfn.BYROW(_xlfn.HSTACK(N(data_mod!$Y$2:$Y$63=A2),N(data_mod!$AA$2:$AA$63=A2)),_xlfn.LAMBDA(_xlpm.row,SUM(_xlpm.row)))),(data_mod!$R$2:$R$63)*(_xlfn.BYROW(_xlfn.HSTACK(N(data_mod!$Z$2:$Z$63=A2),N(data_mod!$AB$2:$AB$63=A2)),_xlfn.LAMBDA(_xlpm.row,SUM(_xlpm.row)))))/C2</f>
        <v>3</v>
      </c>
      <c r="I2" s="28" cm="1">
        <f t="array" ref="I2">SUM((data_mod!$R$2:$R$63)*(_xlfn.BYROW(_xlfn.HSTACK(N(data_mod!$Y$2:$Y$63=A2),N(data_mod!$AA$2:$AA$63=A2)),_xlfn.LAMBDA(_xlpm.row,SUM(_xlpm.row)))),(data_mod!$K$2:$K$63)*(_xlfn.BYROW(_xlfn.HSTACK(N(data_mod!$Z$2:$Z$63=A2),N(data_mod!$AB$2:$AB$63=A2)),_xlfn.LAMBDA(_xlpm.row,SUM(_xlpm.row)))))/C2</f>
        <v>1.6666666666666667</v>
      </c>
      <c r="J2" s="35">
        <f>I2/H2</f>
        <v>0.55555555555555558</v>
      </c>
      <c r="K2" s="30" cm="1">
        <f t="array" ref="K2">SUM((data_mod!$J$2:$J$63="attack")*(_xlfn.BYROW(_xlfn.HSTACK(N(data_mod!$Y$2:$Y$63=A2),N(data_mod!$AA$2:$AA$63=A2)),_xlfn.LAMBDA(_xlpm.row,SUM(_xlpm.row)))),(data_mod!$Q$2:$Q$63="attack")*(_xlfn.BYROW(_xlfn.HSTACK(N(data_mod!$Z$2:$Z$63=A2),N(data_mod!$AB$2:$AB$63=A2)),_xlfn.LAMBDA(_xlpm.row,SUM(_xlpm.row)))))/C2</f>
        <v>0</v>
      </c>
      <c r="L2" s="31" cm="1">
        <f t="array" ref="L2">SUM((data_mod!$J$2:$J$63="maneuver")*(_xlfn.BYROW(_xlfn.HSTACK(N(data_mod!$Y$2:$Y$63=A2),N(data_mod!$AA$2:$AA$63=A2)),_xlfn.LAMBDA(_xlpm.row,SUM(_xlpm.row)))),(data_mod!$Q$2:$Q$63="maneuver")*(_xlfn.BYROW(_xlfn.HSTACK(N(data_mod!$Z$2:$Z$63=A2),N(data_mod!$AB$2:$AB$63=A2)),_xlfn.LAMBDA(_xlpm.row,SUM(_xlpm.row)))))/C2</f>
        <v>0.66666666666666663</v>
      </c>
      <c r="M2" s="32" cm="1">
        <f t="array" ref="M2">SUM((data_mod!$J$2:$J$63="defend")*(_xlfn.BYROW(_xlfn.HSTACK(N(data_mod!$Y$2:$Y$63=A2),N(data_mod!$AA$2:$AA$63=A2)),_xlfn.LAMBDA(_xlpm.row,SUM(_xlpm.row)))),(data_mod!$Q$2:$Q$63="defend")*(_xlfn.BYROW(_xlfn.HSTACK(N(data_mod!$Z$2:$Z$63=A2),N(data_mod!$AB$2:$AB$63=A2)),_xlfn.LAMBDA(_xlpm.row,SUM(_xlpm.row)))))/C2</f>
        <v>0.33333333333333331</v>
      </c>
      <c r="N2" s="38" t="str" cm="1">
        <f t="array" ref="N2">IF(K2=0,"-",IF(($D2=0),0,SUM(N(data_mod!$F$2:$F$63="a")*(data_mod!$J$2:$J$63="attack")*(_xlfn.BYROW(_xlfn.HSTACK(N(data_mod!$Y$2:$Y$63=$A2),N(data_mod!$AA$2:$AA$63=$A2)),_xlfn.LAMBDA(_xlpm.row,SUM(_xlpm.row)))),N(data_mod!$F$2:$F$63="b")*(data_mod!$Q$2:$Q$63="attack")*(_xlfn.BYROW(_xlfn.HSTACK(N(data_mod!$Z$2:$Z$63=$A2),N(data_mod!$AB$2:$AB$63=$A2)),_xlfn.LAMBDA(_xlpm.row,SUM(_xlpm.row)))))/($C2*$K2)))</f>
        <v>-</v>
      </c>
      <c r="O2" s="39" cm="1">
        <f t="array" ref="O2">IF(L2=0,"-",IF(($L2=0),0,SUM(N(data_mod!$F$2:$F$63="a")*(data_mod!$J$2:$J$63="maneuver")*(_xlfn.BYROW(_xlfn.HSTACK(N(data_mod!$Y$2:$Y$63=$A2),N(data_mod!$AA$2:$AA$63=$A2)),_xlfn.LAMBDA(_xlpm.row,SUM(_xlpm.row)))),N(data_mod!$F$2:$F$63="b")*(data_mod!$Q$2:$Q$63="maneuver")*(_xlfn.BYROW(_xlfn.HSTACK(N(data_mod!$Z$2:$Z$63=$A2),N(data_mod!$AB$2:$AB$63=$A2)),_xlfn.LAMBDA(_xlpm.row,SUM(_xlpm.row)))))/($C2*$L2)))</f>
        <v>0.5</v>
      </c>
      <c r="P2" s="40" cm="1">
        <f t="array" ref="P2">IF(M2=0,"-",IF(($D2=0),0,SUM(N(data_mod!$F$2:$F$63="a")*(data_mod!$J$2:$J$63="defend")*(_xlfn.BYROW(_xlfn.HSTACK(N(data_mod!$Y$2:$Y$63=$A2),N(data_mod!$AA$2:$AA$63=$A2)),_xlfn.LAMBDA(_xlpm.row,SUM(_xlpm.row)))),N(data_mod!$F$2:$F$63="b")*(data_mod!$Q$2:$Q$63="defend")*(_xlfn.BYROW(_xlfn.HSTACK(N(data_mod!$Z$2:$Z$63=$A2),N(data_mod!$AB$2:$AB$63=$A2)),_xlfn.LAMBDA(_xlpm.row,SUM(_xlpm.row)))))/($C2*$M2)))</f>
        <v>0</v>
      </c>
      <c r="Q2" s="38" cm="1">
        <f t="array" ref="Q2">IF(SUM((data_mod!$M$2:$M$63="attacker")*(_xlfn.BYROW(_xlfn.HSTACK(N(data_mod!$Y$2:$Y$63=$A2),N(data_mod!$AA$2:$AA$63=$A2)),_xlfn.LAMBDA(_xlpm.row,SUM(_xlpm.row)))),(data_mod!$T$2:$T$63="attacker")*(_xlfn.BYROW(_xlfn.HSTACK(N(data_mod!$Z$2:$Z$63=$A2),N(data_mod!$AB$2:$AB$63=$A2)),_xlfn.LAMBDA(_xlpm.row,SUM(_xlpm.row)))))=0,"-",IF(($D2=0),0,SUM(N(data_mod!$F$2:$F$63="a")*(data_mod!$M$2:$M$63="attacker")*(_xlfn.BYROW(_xlfn.HSTACK(N(data_mod!$Y$2:$Y$63=$A2),N(data_mod!$AA$2:$AA$63=$A2)),_xlfn.LAMBDA(_xlpm.row,SUM(_xlpm.row)))),N(data_mod!$F$2:$F$63="b")*(data_mod!$T$2:$T$63="attacker")*(_xlfn.BYROW(_xlfn.HSTACK(N(data_mod!$Z$2:$Z$63=$A2),N(data_mod!$AB$2:$AB$63=$A2)),_xlfn.LAMBDA(_xlpm.row,SUM(_xlpm.row)))))/SUM((data_mod!$M$2:$M$63="attacker")*(_xlfn.BYROW(_xlfn.HSTACK(N(data_mod!$Y$2:$Y$63=$A2),N(data_mod!$AA$2:$AA$63=$A2)),_xlfn.LAMBDA(_xlpm.row,SUM(_xlpm.row)))),(data_mod!$T$2:$T$63="attacker")*(_xlfn.BYROW(_xlfn.HSTACK(N(data_mod!$Z$2:$Z$63=$A2),N(data_mod!$AB$2:$AB$63=$A2)),_xlfn.LAMBDA(_xlpm.row,SUM(_xlpm.row)))))))</f>
        <v>0</v>
      </c>
      <c r="R2" s="40" cm="1">
        <f t="array" ref="R2">IF(SUM((data_mod!$M$2:$M$63="defender")*(_xlfn.BYROW(_xlfn.HSTACK(N(data_mod!$Y$2:$Y$63=$A2),N(data_mod!$AA$2:$AA$63=$A2)),_xlfn.LAMBDA(_xlpm.row,SUM(_xlpm.row)))),(data_mod!$T$2:$T$63="defender")*(_xlfn.BYROW(_xlfn.HSTACK(N(data_mod!$Z$2:$Z$63=$A2),N(data_mod!$AB$2:$AB$63=$A2)),_xlfn.LAMBDA(_xlpm.row,SUM(_xlpm.row)))))=0,"-",IF(($D2=0),0,SUM(N(data_mod!$F$2:$F$63="a")*(data_mod!$M$2:$M$63="defender")*(_xlfn.BYROW(_xlfn.HSTACK(N(data_mod!$Y$2:$Y$63=$A2),N(data_mod!$AA$2:$AA$63=$A2)),_xlfn.LAMBDA(_xlpm.row,SUM(_xlpm.row)))),N(data_mod!$F$2:$F$63="b")*(data_mod!$T$2:$T$63="defender")*(_xlfn.BYROW(_xlfn.HSTACK(N(data_mod!$Z$2:$Z$63=$A2),N(data_mod!$AB$2:$AB$63=$A2)),_xlfn.LAMBDA(_xlpm.row,SUM(_xlpm.row)))))/SUM((data_mod!$M$2:$M$63="defender")*(_xlfn.BYROW(_xlfn.HSTACK(N(data_mod!$Y$2:$Y$63=$A2),N(data_mod!$AA$2:$AA$63=$A2)),_xlfn.LAMBDA(_xlpm.row,SUM(_xlpm.row)))),(data_mod!$T$2:$T$63="defender")*(_xlfn.BYROW(_xlfn.HSTACK(N(data_mod!$Z$2:$Z$63=$A2),N(data_mod!$AB$2:$AB$63=$A2)),_xlfn.LAMBDA(_xlpm.row,SUM(_xlpm.row)))))))</f>
        <v>0.5</v>
      </c>
    </row>
    <row r="3" spans="1:18" x14ac:dyDescent="0.25">
      <c r="A3" s="45" t="s">
        <v>134</v>
      </c>
      <c r="B3" s="1" cm="1">
        <f t="array" ref="B3">SUM(N(_xlfn.VSTACK('Player-Force'!$F$3:$F$28,'Player-Force'!$G$3:$G$28,'Player-Force'!$J$3:$J$28,'Player-Force'!$K$3:$K$28)=A3))</f>
        <v>4</v>
      </c>
      <c r="C3" s="18" cm="1">
        <f t="array" ref="C3">SUM(_xlfn.BYROW(_xlfn.HSTACK(N(data_mod!$Y$2:$Y$63=A3),N(data_mod!$AA$2:$AA$63=A3)),_xlfn.LAMBDA(_xlpm.row,SUM(_xlpm.row))),_xlfn.BYROW(_xlfn.HSTACK(N(data_mod!$Z$2:$Z$63=A3),N(data_mod!$AB$2:$AB$63=A3)),_xlfn.LAMBDA(_xlpm.row,SUM(_xlpm.row))))</f>
        <v>19</v>
      </c>
      <c r="D3" s="44" cm="1">
        <f t="array" ref="D3">SUM((data_mod!$F$2:$F$63="a")*(_xlfn.BYROW(_xlfn.HSTACK(N(data_mod!$Y$2:$Y$63=A3),N(data_mod!$AA$2:$AA$63=A3)),_xlfn.LAMBDA(_xlpm.row,SUM(_xlpm.row)))),(data_mod!$F$2:$F$63="b")*(_xlfn.BYROW(_xlfn.HSTACK(N(data_mod!$Z$2:$Z$63=A3),N(data_mod!$AB$2:$AB$63=A3)),_xlfn.LAMBDA(_xlpm.row,SUM(_xlpm.row)))))/C3</f>
        <v>0.42105263157894735</v>
      </c>
      <c r="E3" s="31" cm="1">
        <f t="array" ref="E3">SUM((data_mod!$F$2:$F$63="b")*(_xlfn.BYROW(_xlfn.HSTACK(N(data_mod!$Y$2:$Y$63=A3),N(data_mod!$AA$2:$AA$63=A3)),_xlfn.LAMBDA(_xlpm.row,SUM(_xlpm.row)))),(data_mod!$F$2:$F$63="a")*(_xlfn.BYROW(_xlfn.HSTACK(N(data_mod!$Z$2:$Z$63=A3),N(data_mod!$AB$2:$AB$63=A3)),_xlfn.LAMBDA(_xlpm.row,SUM(_xlpm.row)))))/C3</f>
        <v>0.31578947368421051</v>
      </c>
      <c r="F3" s="32" cm="1">
        <f t="array" ref="F3">SUM((data_mod!$F$2:$F$63="none")*(_xlfn.BYROW(_xlfn.HSTACK(N(data_mod!$Y$2:$Y$63=A3),N(data_mod!$AA$2:$AA$63=A3)),_xlfn.LAMBDA(_xlpm.row,SUM(_xlpm.row)))),(data_mod!$F$2:$F$63="none")*(_xlfn.BYROW(_xlfn.HSTACK(N(data_mod!$Z$2:$Z$63=A3),N(data_mod!$AB$2:$AB$63=A3)),_xlfn.LAMBDA(_xlpm.row,SUM(_xlpm.row)))))/C3</f>
        <v>0.26315789473684209</v>
      </c>
      <c r="G3" s="34" cm="1">
        <f t="array" ref="G3">SUM((data_mod!$L$2:$L$63)*(_xlfn.BYROW(_xlfn.HSTACK(N(data_mod!$Y$2:$Y$63=A3),N(data_mod!$AA$2:$AA$63=A3)),_xlfn.LAMBDA(_xlpm.row,SUM(_xlpm.row)))),(data_mod!$S$2:$S$63)*(_xlfn.BYROW(_xlfn.HSTACK(N(data_mod!$Z$2:$Z$63=A3),N(data_mod!$AB$2:$AB$63=A3)),_xlfn.LAMBDA(_xlpm.row,SUM(_xlpm.row)))))/C3</f>
        <v>4.5789473684210522</v>
      </c>
      <c r="H3" s="28" cm="1">
        <f t="array" ref="H3">SUM((data_mod!$K$2:$K$63)*(_xlfn.BYROW(_xlfn.HSTACK(N(data_mod!$Y$2:$Y$63=A3),N(data_mod!$AA$2:$AA$63=A3)),_xlfn.LAMBDA(_xlpm.row,SUM(_xlpm.row)))),(data_mod!$R$2:$R$63)*(_xlfn.BYROW(_xlfn.HSTACK(N(data_mod!$Z$2:$Z$63=A3),N(data_mod!$AB$2:$AB$63=A3)),_xlfn.LAMBDA(_xlpm.row,SUM(_xlpm.row)))))/C3</f>
        <v>2.3684210526315788</v>
      </c>
      <c r="I3" s="28" cm="1">
        <f t="array" ref="I3">SUM((data_mod!$R$2:$R$63)*(_xlfn.BYROW(_xlfn.HSTACK(N(data_mod!$Y$2:$Y$63=A3),N(data_mod!$AA$2:$AA$63=A3)),_xlfn.LAMBDA(_xlpm.row,SUM(_xlpm.row)))),(data_mod!$K$2:$K$63)*(_xlfn.BYROW(_xlfn.HSTACK(N(data_mod!$Z$2:$Z$63=A3),N(data_mod!$AB$2:$AB$63=A3)),_xlfn.LAMBDA(_xlpm.row,SUM(_xlpm.row)))))/C3</f>
        <v>3.1578947368421053</v>
      </c>
      <c r="J3" s="35">
        <f t="shared" ref="J3:J31" si="0">I3/H3</f>
        <v>1.3333333333333335</v>
      </c>
      <c r="K3" s="30" cm="1">
        <f t="array" ref="K3">SUM((data_mod!$J$2:$J$63="attack")*(_xlfn.BYROW(_xlfn.HSTACK(N(data_mod!$Y$2:$Y$63=A3),N(data_mod!$AA$2:$AA$63=A3)),_xlfn.LAMBDA(_xlpm.row,SUM(_xlpm.row)))),(data_mod!$Q$2:$Q$63="attack")*(_xlfn.BYROW(_xlfn.HSTACK(N(data_mod!$Z$2:$Z$63=A3),N(data_mod!$AB$2:$AB$63=A3)),_xlfn.LAMBDA(_xlpm.row,SUM(_xlpm.row)))))/C3</f>
        <v>0.21052631578947367</v>
      </c>
      <c r="L3" s="31" cm="1">
        <f t="array" ref="L3">SUM((data_mod!$J$2:$J$63="maneuver")*(_xlfn.BYROW(_xlfn.HSTACK(N(data_mod!$Y$2:$Y$63=A3),N(data_mod!$AA$2:$AA$63=A3)),_xlfn.LAMBDA(_xlpm.row,SUM(_xlpm.row)))),(data_mod!$Q$2:$Q$63="maneuver")*(_xlfn.BYROW(_xlfn.HSTACK(N(data_mod!$Z$2:$Z$63=A3),N(data_mod!$AB$2:$AB$63=A3)),_xlfn.LAMBDA(_xlpm.row,SUM(_xlpm.row)))))/C3</f>
        <v>5.2631578947368418E-2</v>
      </c>
      <c r="M3" s="32" cm="1">
        <f t="array" ref="M3">SUM((data_mod!$J$2:$J$63="defend")*(_xlfn.BYROW(_xlfn.HSTACK(N(data_mod!$Y$2:$Y$63=A3),N(data_mod!$AA$2:$AA$63=A3)),_xlfn.LAMBDA(_xlpm.row,SUM(_xlpm.row)))),(data_mod!$Q$2:$Q$63="defend")*(_xlfn.BYROW(_xlfn.HSTACK(N(data_mod!$Z$2:$Z$63=A3),N(data_mod!$AB$2:$AB$63=A3)),_xlfn.LAMBDA(_xlpm.row,SUM(_xlpm.row)))))/C3</f>
        <v>0.73684210526315785</v>
      </c>
      <c r="N3" s="38" cm="1">
        <f t="array" ref="N3">IF(K3=0,"-",IF(($D3=0),0,SUM(N(data_mod!$F$2:$F$63="a")*(data_mod!$J$2:$J$63="attack")*(_xlfn.BYROW(_xlfn.HSTACK(N(data_mod!$Y$2:$Y$63=$A3),N(data_mod!$AA$2:$AA$63=$A3)),_xlfn.LAMBDA(_xlpm.row,SUM(_xlpm.row)))),N(data_mod!$F$2:$F$63="b")*(data_mod!$Q$2:$Q$63="attack")*(_xlfn.BYROW(_xlfn.HSTACK(N(data_mod!$Z$2:$Z$63=$A3),N(data_mod!$AB$2:$AB$63=$A3)),_xlfn.LAMBDA(_xlpm.row,SUM(_xlpm.row)))))/($C3*$K3)))</f>
        <v>0.25</v>
      </c>
      <c r="O3" s="39" cm="1">
        <f t="array" ref="O3">IF(L3=0,"-",IF(($L3=0),0,SUM(N(data_mod!$F$2:$F$63="a")*(data_mod!$J$2:$J$63="maneuver")*(_xlfn.BYROW(_xlfn.HSTACK(N(data_mod!$Y$2:$Y$63=$A3),N(data_mod!$AA$2:$AA$63=$A3)),_xlfn.LAMBDA(_xlpm.row,SUM(_xlpm.row)))),N(data_mod!$F$2:$F$63="b")*(data_mod!$Q$2:$Q$63="maneuver")*(_xlfn.BYROW(_xlfn.HSTACK(N(data_mod!$Z$2:$Z$63=$A3),N(data_mod!$AB$2:$AB$63=$A3)),_xlfn.LAMBDA(_xlpm.row,SUM(_xlpm.row)))))/($C3*$L3)))</f>
        <v>0</v>
      </c>
      <c r="P3" s="40" cm="1">
        <f t="array" ref="P3">IF(M3=0,"-",IF(($D3=0),0,SUM(N(data_mod!$F$2:$F$63="a")*(data_mod!$J$2:$J$63="defend")*(_xlfn.BYROW(_xlfn.HSTACK(N(data_mod!$Y$2:$Y$63=$A3),N(data_mod!$AA$2:$AA$63=$A3)),_xlfn.LAMBDA(_xlpm.row,SUM(_xlpm.row)))),N(data_mod!$F$2:$F$63="b")*(data_mod!$Q$2:$Q$63="defend")*(_xlfn.BYROW(_xlfn.HSTACK(N(data_mod!$Z$2:$Z$63=$A3),N(data_mod!$AB$2:$AB$63=$A3)),_xlfn.LAMBDA(_xlpm.row,SUM(_xlpm.row)))))/($C3*$M3)))</f>
        <v>0.5</v>
      </c>
      <c r="Q3" s="38" cm="1">
        <f t="array" ref="Q3">IF(SUM((data_mod!$M$2:$M$63="attacker")*(_xlfn.BYROW(_xlfn.HSTACK(N(data_mod!$Y$2:$Y$63=$A3),N(data_mod!$AA$2:$AA$63=$A3)),_xlfn.LAMBDA(_xlpm.row,SUM(_xlpm.row)))),(data_mod!$T$2:$T$63="attacker")*(_xlfn.BYROW(_xlfn.HSTACK(N(data_mod!$Z$2:$Z$63=$A3),N(data_mod!$AB$2:$AB$63=$A3)),_xlfn.LAMBDA(_xlpm.row,SUM(_xlpm.row)))))=0,"-",IF(($D3=0),0,SUM(N(data_mod!$F$2:$F$63="a")*(data_mod!$M$2:$M$63="attacker")*(_xlfn.BYROW(_xlfn.HSTACK(N(data_mod!$Y$2:$Y$63=$A3),N(data_mod!$AA$2:$AA$63=$A3)),_xlfn.LAMBDA(_xlpm.row,SUM(_xlpm.row)))),N(data_mod!$F$2:$F$63="b")*(data_mod!$T$2:$T$63="attacker")*(_xlfn.BYROW(_xlfn.HSTACK(N(data_mod!$Z$2:$Z$63=$A3),N(data_mod!$AB$2:$AB$63=$A3)),_xlfn.LAMBDA(_xlpm.row,SUM(_xlpm.row)))))/SUM((data_mod!$M$2:$M$63="attacker")*(_xlfn.BYROW(_xlfn.HSTACK(N(data_mod!$Y$2:$Y$63=$A3),N(data_mod!$AA$2:$AA$63=$A3)),_xlfn.LAMBDA(_xlpm.row,SUM(_xlpm.row)))),(data_mod!$T$2:$T$63="attacker")*(_xlfn.BYROW(_xlfn.HSTACK(N(data_mod!$Z$2:$Z$63=$A3),N(data_mod!$AB$2:$AB$63=$A3)),_xlfn.LAMBDA(_xlpm.row,SUM(_xlpm.row)))))))</f>
        <v>0.14285714285714285</v>
      </c>
      <c r="R3" s="40" cm="1">
        <f t="array" ref="R3">IF(SUM((data_mod!$M$2:$M$63="defender")*(_xlfn.BYROW(_xlfn.HSTACK(N(data_mod!$Y$2:$Y$63=$A3),N(data_mod!$AA$2:$AA$63=$A3)),_xlfn.LAMBDA(_xlpm.row,SUM(_xlpm.row)))),(data_mod!$T$2:$T$63="defender")*(_xlfn.BYROW(_xlfn.HSTACK(N(data_mod!$Z$2:$Z$63=$A3),N(data_mod!$AB$2:$AB$63=$A3)),_xlfn.LAMBDA(_xlpm.row,SUM(_xlpm.row)))))=0,"-",IF(($D3=0),0,SUM(N(data_mod!$F$2:$F$63="a")*(data_mod!$M$2:$M$63="defender")*(_xlfn.BYROW(_xlfn.HSTACK(N(data_mod!$Y$2:$Y$63=$A3),N(data_mod!$AA$2:$AA$63=$A3)),_xlfn.LAMBDA(_xlpm.row,SUM(_xlpm.row)))),N(data_mod!$F$2:$F$63="b")*(data_mod!$T$2:$T$63="defender")*(_xlfn.BYROW(_xlfn.HSTACK(N(data_mod!$Z$2:$Z$63=$A3),N(data_mod!$AB$2:$AB$63=$A3)),_xlfn.LAMBDA(_xlpm.row,SUM(_xlpm.row)))))/SUM((data_mod!$M$2:$M$63="defender")*(_xlfn.BYROW(_xlfn.HSTACK(N(data_mod!$Y$2:$Y$63=$A3),N(data_mod!$AA$2:$AA$63=$A3)),_xlfn.LAMBDA(_xlpm.row,SUM(_xlpm.row)))),(data_mod!$T$2:$T$63="defender")*(_xlfn.BYROW(_xlfn.HSTACK(N(data_mod!$Z$2:$Z$63=$A3),N(data_mod!$AB$2:$AB$63=$A3)),_xlfn.LAMBDA(_xlpm.row,SUM(_xlpm.row)))))))</f>
        <v>0.58333333333333337</v>
      </c>
    </row>
    <row r="4" spans="1:18" x14ac:dyDescent="0.25">
      <c r="A4" s="45" t="s">
        <v>135</v>
      </c>
      <c r="B4" s="1" cm="1">
        <f t="array" ref="B4">SUM(N(_xlfn.VSTACK('Player-Force'!$F$3:$F$28,'Player-Force'!$G$3:$G$28,'Player-Force'!$J$3:$J$28,'Player-Force'!$K$3:$K$28)=A4))</f>
        <v>1</v>
      </c>
      <c r="C4" s="18" cm="1">
        <f t="array" ref="C4">SUM(_xlfn.BYROW(_xlfn.HSTACK(N(data_mod!$Y$2:$Y$63=A4),N(data_mod!$AA$2:$AA$63=A4)),_xlfn.LAMBDA(_xlpm.row,SUM(_xlpm.row))),_xlfn.BYROW(_xlfn.HSTACK(N(data_mod!$Z$2:$Z$63=A4),N(data_mod!$AB$2:$AB$63=A4)),_xlfn.LAMBDA(_xlpm.row,SUM(_xlpm.row))))</f>
        <v>4</v>
      </c>
      <c r="D4" s="44" cm="1">
        <f t="array" ref="D4">SUM((data_mod!$F$2:$F$63="a")*(_xlfn.BYROW(_xlfn.HSTACK(N(data_mod!$Y$2:$Y$63=A4),N(data_mod!$AA$2:$AA$63=A4)),_xlfn.LAMBDA(_xlpm.row,SUM(_xlpm.row)))),(data_mod!$F$2:$F$63="b")*(_xlfn.BYROW(_xlfn.HSTACK(N(data_mod!$Z$2:$Z$63=A4),N(data_mod!$AB$2:$AB$63=A4)),_xlfn.LAMBDA(_xlpm.row,SUM(_xlpm.row)))))/C4</f>
        <v>0</v>
      </c>
      <c r="E4" s="31" cm="1">
        <f t="array" ref="E4">SUM((data_mod!$F$2:$F$63="b")*(_xlfn.BYROW(_xlfn.HSTACK(N(data_mod!$Y$2:$Y$63=A4),N(data_mod!$AA$2:$AA$63=A4)),_xlfn.LAMBDA(_xlpm.row,SUM(_xlpm.row)))),(data_mod!$F$2:$F$63="a")*(_xlfn.BYROW(_xlfn.HSTACK(N(data_mod!$Z$2:$Z$63=A4),N(data_mod!$AB$2:$AB$63=A4)),_xlfn.LAMBDA(_xlpm.row,SUM(_xlpm.row)))))/C4</f>
        <v>0.75</v>
      </c>
      <c r="F4" s="32" cm="1">
        <f t="array" ref="F4">SUM((data_mod!$F$2:$F$63="none")*(_xlfn.BYROW(_xlfn.HSTACK(N(data_mod!$Y$2:$Y$63=A4),N(data_mod!$AA$2:$AA$63=A4)),_xlfn.LAMBDA(_xlpm.row,SUM(_xlpm.row)))),(data_mod!$F$2:$F$63="none")*(_xlfn.BYROW(_xlfn.HSTACK(N(data_mod!$Z$2:$Z$63=A4),N(data_mod!$AB$2:$AB$63=A4)),_xlfn.LAMBDA(_xlpm.row,SUM(_xlpm.row)))))/C4</f>
        <v>0.25</v>
      </c>
      <c r="G4" s="34" cm="1">
        <f t="array" ref="G4">SUM((data_mod!$L$2:$L$63)*(_xlfn.BYROW(_xlfn.HSTACK(N(data_mod!$Y$2:$Y$63=A4),N(data_mod!$AA$2:$AA$63=A4)),_xlfn.LAMBDA(_xlpm.row,SUM(_xlpm.row)))),(data_mod!$S$2:$S$63)*(_xlfn.BYROW(_xlfn.HSTACK(N(data_mod!$Z$2:$Z$63=A4),N(data_mod!$AB$2:$AB$63=A4)),_xlfn.LAMBDA(_xlpm.row,SUM(_xlpm.row)))))/C4</f>
        <v>2</v>
      </c>
      <c r="H4" s="28" cm="1">
        <f t="array" ref="H4">SUM((data_mod!$K$2:$K$63)*(_xlfn.BYROW(_xlfn.HSTACK(N(data_mod!$Y$2:$Y$63=A4),N(data_mod!$AA$2:$AA$63=A4)),_xlfn.LAMBDA(_xlpm.row,SUM(_xlpm.row)))),(data_mod!$R$2:$R$63)*(_xlfn.BYROW(_xlfn.HSTACK(N(data_mod!$Z$2:$Z$63=A4),N(data_mod!$AB$2:$AB$63=A4)),_xlfn.LAMBDA(_xlpm.row,SUM(_xlpm.row)))))/C4</f>
        <v>2</v>
      </c>
      <c r="I4" s="28" cm="1">
        <f t="array" ref="I4">SUM((data_mod!$R$2:$R$63)*(_xlfn.BYROW(_xlfn.HSTACK(N(data_mod!$Y$2:$Y$63=A4),N(data_mod!$AA$2:$AA$63=A4)),_xlfn.LAMBDA(_xlpm.row,SUM(_xlpm.row)))),(data_mod!$K$2:$K$63)*(_xlfn.BYROW(_xlfn.HSTACK(N(data_mod!$Z$2:$Z$63=A4),N(data_mod!$AB$2:$AB$63=A4)),_xlfn.LAMBDA(_xlpm.row,SUM(_xlpm.row)))))/C4</f>
        <v>2.25</v>
      </c>
      <c r="J4" s="35">
        <f t="shared" si="0"/>
        <v>1.125</v>
      </c>
      <c r="K4" s="30" cm="1">
        <f t="array" ref="K4">SUM((data_mod!$J$2:$J$63="attack")*(_xlfn.BYROW(_xlfn.HSTACK(N(data_mod!$Y$2:$Y$63=A4),N(data_mod!$AA$2:$AA$63=A4)),_xlfn.LAMBDA(_xlpm.row,SUM(_xlpm.row)))),(data_mod!$Q$2:$Q$63="attack")*(_xlfn.BYROW(_xlfn.HSTACK(N(data_mod!$Z$2:$Z$63=A4),N(data_mod!$AB$2:$AB$63=A4)),_xlfn.LAMBDA(_xlpm.row,SUM(_xlpm.row)))))/C4</f>
        <v>0</v>
      </c>
      <c r="L4" s="31" cm="1">
        <f t="array" ref="L4">SUM((data_mod!$J$2:$J$63="maneuver")*(_xlfn.BYROW(_xlfn.HSTACK(N(data_mod!$Y$2:$Y$63=A4),N(data_mod!$AA$2:$AA$63=A4)),_xlfn.LAMBDA(_xlpm.row,SUM(_xlpm.row)))),(data_mod!$Q$2:$Q$63="maneuver")*(_xlfn.BYROW(_xlfn.HSTACK(N(data_mod!$Z$2:$Z$63=A4),N(data_mod!$AB$2:$AB$63=A4)),_xlfn.LAMBDA(_xlpm.row,SUM(_xlpm.row)))))/C4</f>
        <v>1</v>
      </c>
      <c r="M4" s="32" cm="1">
        <f t="array" ref="M4">SUM((data_mod!$J$2:$J$63="defend")*(_xlfn.BYROW(_xlfn.HSTACK(N(data_mod!$Y$2:$Y$63=A4),N(data_mod!$AA$2:$AA$63=A4)),_xlfn.LAMBDA(_xlpm.row,SUM(_xlpm.row)))),(data_mod!$Q$2:$Q$63="defend")*(_xlfn.BYROW(_xlfn.HSTACK(N(data_mod!$Z$2:$Z$63=A4),N(data_mod!$AB$2:$AB$63=A4)),_xlfn.LAMBDA(_xlpm.row,SUM(_xlpm.row)))))/C4</f>
        <v>0</v>
      </c>
      <c r="N4" s="38" t="str" cm="1">
        <f t="array" ref="N4">IF(K4=0,"-",IF(($D4=0),0,SUM(N(data_mod!$F$2:$F$63="a")*(data_mod!$J$2:$J$63="attack")*(_xlfn.BYROW(_xlfn.HSTACK(N(data_mod!$Y$2:$Y$63=$A4),N(data_mod!$AA$2:$AA$63=$A4)),_xlfn.LAMBDA(_xlpm.row,SUM(_xlpm.row)))),N(data_mod!$F$2:$F$63="b")*(data_mod!$Q$2:$Q$63="attack")*(_xlfn.BYROW(_xlfn.HSTACK(N(data_mod!$Z$2:$Z$63=$A4),N(data_mod!$AB$2:$AB$63=$A4)),_xlfn.LAMBDA(_xlpm.row,SUM(_xlpm.row)))))/($C4*$K4)))</f>
        <v>-</v>
      </c>
      <c r="O4" s="39" cm="1">
        <f t="array" ref="O4">IF(L4=0,"-",IF(($L4=0),0,SUM(N(data_mod!$F$2:$F$63="a")*(data_mod!$J$2:$J$63="maneuver")*(_xlfn.BYROW(_xlfn.HSTACK(N(data_mod!$Y$2:$Y$63=$A4),N(data_mod!$AA$2:$AA$63=$A4)),_xlfn.LAMBDA(_xlpm.row,SUM(_xlpm.row)))),N(data_mod!$F$2:$F$63="b")*(data_mod!$Q$2:$Q$63="maneuver")*(_xlfn.BYROW(_xlfn.HSTACK(N(data_mod!$Z$2:$Z$63=$A4),N(data_mod!$AB$2:$AB$63=$A4)),_xlfn.LAMBDA(_xlpm.row,SUM(_xlpm.row)))))/($C4*$L4)))</f>
        <v>0</v>
      </c>
      <c r="P4" s="40" t="str" cm="1">
        <f t="array" ref="P4">IF(M4=0,"-",IF(($D4=0),0,SUM(N(data_mod!$F$2:$F$63="a")*(data_mod!$J$2:$J$63="defend")*(_xlfn.BYROW(_xlfn.HSTACK(N(data_mod!$Y$2:$Y$63=$A4),N(data_mod!$AA$2:$AA$63=$A4)),_xlfn.LAMBDA(_xlpm.row,SUM(_xlpm.row)))),N(data_mod!$F$2:$F$63="b")*(data_mod!$Q$2:$Q$63="defend")*(_xlfn.BYROW(_xlfn.HSTACK(N(data_mod!$Z$2:$Z$63=$A4),N(data_mod!$AB$2:$AB$63=$A4)),_xlfn.LAMBDA(_xlpm.row,SUM(_xlpm.row)))))/($C4*$M4)))</f>
        <v>-</v>
      </c>
      <c r="Q4" s="38" cm="1">
        <f t="array" ref="Q4">IF(SUM((data_mod!$M$2:$M$63="attacker")*(_xlfn.BYROW(_xlfn.HSTACK(N(data_mod!$Y$2:$Y$63=$A4),N(data_mod!$AA$2:$AA$63=$A4)),_xlfn.LAMBDA(_xlpm.row,SUM(_xlpm.row)))),(data_mod!$T$2:$T$63="attacker")*(_xlfn.BYROW(_xlfn.HSTACK(N(data_mod!$Z$2:$Z$63=$A4),N(data_mod!$AB$2:$AB$63=$A4)),_xlfn.LAMBDA(_xlpm.row,SUM(_xlpm.row)))))=0,"-",IF(($D4=0),0,SUM(N(data_mod!$F$2:$F$63="a")*(data_mod!$M$2:$M$63="attacker")*(_xlfn.BYROW(_xlfn.HSTACK(N(data_mod!$Y$2:$Y$63=$A4),N(data_mod!$AA$2:$AA$63=$A4)),_xlfn.LAMBDA(_xlpm.row,SUM(_xlpm.row)))),N(data_mod!$F$2:$F$63="b")*(data_mod!$T$2:$T$63="attacker")*(_xlfn.BYROW(_xlfn.HSTACK(N(data_mod!$Z$2:$Z$63=$A4),N(data_mod!$AB$2:$AB$63=$A4)),_xlfn.LAMBDA(_xlpm.row,SUM(_xlpm.row)))))/SUM((data_mod!$M$2:$M$63="attacker")*(_xlfn.BYROW(_xlfn.HSTACK(N(data_mod!$Y$2:$Y$63=$A4),N(data_mod!$AA$2:$AA$63=$A4)),_xlfn.LAMBDA(_xlpm.row,SUM(_xlpm.row)))),(data_mod!$T$2:$T$63="attacker")*(_xlfn.BYROW(_xlfn.HSTACK(N(data_mod!$Z$2:$Z$63=$A4),N(data_mod!$AB$2:$AB$63=$A4)),_xlfn.LAMBDA(_xlpm.row,SUM(_xlpm.row)))))))</f>
        <v>0</v>
      </c>
      <c r="R4" s="40" cm="1">
        <f t="array" ref="R4">IF(SUM((data_mod!$M$2:$M$63="defender")*(_xlfn.BYROW(_xlfn.HSTACK(N(data_mod!$Y$2:$Y$63=$A4),N(data_mod!$AA$2:$AA$63=$A4)),_xlfn.LAMBDA(_xlpm.row,SUM(_xlpm.row)))),(data_mod!$T$2:$T$63="defender")*(_xlfn.BYROW(_xlfn.HSTACK(N(data_mod!$Z$2:$Z$63=$A4),N(data_mod!$AB$2:$AB$63=$A4)),_xlfn.LAMBDA(_xlpm.row,SUM(_xlpm.row)))))=0,"-",IF(($D4=0),0,SUM(N(data_mod!$F$2:$F$63="a")*(data_mod!$M$2:$M$63="defender")*(_xlfn.BYROW(_xlfn.HSTACK(N(data_mod!$Y$2:$Y$63=$A4),N(data_mod!$AA$2:$AA$63=$A4)),_xlfn.LAMBDA(_xlpm.row,SUM(_xlpm.row)))),N(data_mod!$F$2:$F$63="b")*(data_mod!$T$2:$T$63="defender")*(_xlfn.BYROW(_xlfn.HSTACK(N(data_mod!$Z$2:$Z$63=$A4),N(data_mod!$AB$2:$AB$63=$A4)),_xlfn.LAMBDA(_xlpm.row,SUM(_xlpm.row)))))/SUM((data_mod!$M$2:$M$63="defender")*(_xlfn.BYROW(_xlfn.HSTACK(N(data_mod!$Y$2:$Y$63=$A4),N(data_mod!$AA$2:$AA$63=$A4)),_xlfn.LAMBDA(_xlpm.row,SUM(_xlpm.row)))),(data_mod!$T$2:$T$63="defender")*(_xlfn.BYROW(_xlfn.HSTACK(N(data_mod!$Z$2:$Z$63=$A4),N(data_mod!$AB$2:$AB$63=$A4)),_xlfn.LAMBDA(_xlpm.row,SUM(_xlpm.row)))))))</f>
        <v>0</v>
      </c>
    </row>
    <row r="5" spans="1:18" x14ac:dyDescent="0.25">
      <c r="A5" s="45" t="s">
        <v>137</v>
      </c>
      <c r="B5" s="1" cm="1">
        <f t="array" ref="B5">SUM(N(_xlfn.VSTACK('Player-Force'!$F$3:$F$28,'Player-Force'!$G$3:$G$28,'Player-Force'!$J$3:$J$28,'Player-Force'!$K$3:$K$28)=A5))</f>
        <v>1</v>
      </c>
      <c r="C5" s="18" cm="1">
        <f t="array" ref="C5">SUM(_xlfn.BYROW(_xlfn.HSTACK(N(data_mod!$Y$2:$Y$63=A5),N(data_mod!$AA$2:$AA$63=A5)),_xlfn.LAMBDA(_xlpm.row,SUM(_xlpm.row))),_xlfn.BYROW(_xlfn.HSTACK(N(data_mod!$Z$2:$Z$63=A5),N(data_mod!$AB$2:$AB$63=A5)),_xlfn.LAMBDA(_xlpm.row,SUM(_xlpm.row))))</f>
        <v>5</v>
      </c>
      <c r="D5" s="44" cm="1">
        <f t="array" ref="D5">SUM((data_mod!$F$2:$F$63="a")*(_xlfn.BYROW(_xlfn.HSTACK(N(data_mod!$Y$2:$Y$63=A5),N(data_mod!$AA$2:$AA$63=A5)),_xlfn.LAMBDA(_xlpm.row,SUM(_xlpm.row)))),(data_mod!$F$2:$F$63="b")*(_xlfn.BYROW(_xlfn.HSTACK(N(data_mod!$Z$2:$Z$63=A5),N(data_mod!$AB$2:$AB$63=A5)),_xlfn.LAMBDA(_xlpm.row,SUM(_xlpm.row)))))/C5</f>
        <v>0.4</v>
      </c>
      <c r="E5" s="31" cm="1">
        <f t="array" ref="E5">SUM((data_mod!$F$2:$F$63="b")*(_xlfn.BYROW(_xlfn.HSTACK(N(data_mod!$Y$2:$Y$63=A5),N(data_mod!$AA$2:$AA$63=A5)),_xlfn.LAMBDA(_xlpm.row,SUM(_xlpm.row)))),(data_mod!$F$2:$F$63="a")*(_xlfn.BYROW(_xlfn.HSTACK(N(data_mod!$Z$2:$Z$63=A5),N(data_mod!$AB$2:$AB$63=A5)),_xlfn.LAMBDA(_xlpm.row,SUM(_xlpm.row)))))/C5</f>
        <v>0.4</v>
      </c>
      <c r="F5" s="32" cm="1">
        <f t="array" ref="F5">SUM((data_mod!$F$2:$F$63="none")*(_xlfn.BYROW(_xlfn.HSTACK(N(data_mod!$Y$2:$Y$63=A5),N(data_mod!$AA$2:$AA$63=A5)),_xlfn.LAMBDA(_xlpm.row,SUM(_xlpm.row)))),(data_mod!$F$2:$F$63="none")*(_xlfn.BYROW(_xlfn.HSTACK(N(data_mod!$Z$2:$Z$63=A5),N(data_mod!$AB$2:$AB$63=A5)),_xlfn.LAMBDA(_xlpm.row,SUM(_xlpm.row)))))/C5</f>
        <v>0.2</v>
      </c>
      <c r="G5" s="34" cm="1">
        <f t="array" ref="G5">SUM((data_mod!$L$2:$L$63)*(_xlfn.BYROW(_xlfn.HSTACK(N(data_mod!$Y$2:$Y$63=A5),N(data_mod!$AA$2:$AA$63=A5)),_xlfn.LAMBDA(_xlpm.row,SUM(_xlpm.row)))),(data_mod!$S$2:$S$63)*(_xlfn.BYROW(_xlfn.HSTACK(N(data_mod!$Z$2:$Z$63=A5),N(data_mod!$AB$2:$AB$63=A5)),_xlfn.LAMBDA(_xlpm.row,SUM(_xlpm.row)))))/C5</f>
        <v>3.8</v>
      </c>
      <c r="H5" s="28" cm="1">
        <f t="array" ref="H5">SUM((data_mod!$K$2:$K$63)*(_xlfn.BYROW(_xlfn.HSTACK(N(data_mod!$Y$2:$Y$63=A5),N(data_mod!$AA$2:$AA$63=A5)),_xlfn.LAMBDA(_xlpm.row,SUM(_xlpm.row)))),(data_mod!$R$2:$R$63)*(_xlfn.BYROW(_xlfn.HSTACK(N(data_mod!$Z$2:$Z$63=A5),N(data_mod!$AB$2:$AB$63=A5)),_xlfn.LAMBDA(_xlpm.row,SUM(_xlpm.row)))))/C5</f>
        <v>2</v>
      </c>
      <c r="I5" s="28" cm="1">
        <f t="array" ref="I5">SUM((data_mod!$R$2:$R$63)*(_xlfn.BYROW(_xlfn.HSTACK(N(data_mod!$Y$2:$Y$63=A5),N(data_mod!$AA$2:$AA$63=A5)),_xlfn.LAMBDA(_xlpm.row,SUM(_xlpm.row)))),(data_mod!$K$2:$K$63)*(_xlfn.BYROW(_xlfn.HSTACK(N(data_mod!$Z$2:$Z$63=A5),N(data_mod!$AB$2:$AB$63=A5)),_xlfn.LAMBDA(_xlpm.row,SUM(_xlpm.row)))))/C5</f>
        <v>0.8</v>
      </c>
      <c r="J5" s="35">
        <f t="shared" si="0"/>
        <v>0.4</v>
      </c>
      <c r="K5" s="30" cm="1">
        <f t="array" ref="K5">SUM((data_mod!$J$2:$J$63="attack")*(_xlfn.BYROW(_xlfn.HSTACK(N(data_mod!$Y$2:$Y$63=A5),N(data_mod!$AA$2:$AA$63=A5)),_xlfn.LAMBDA(_xlpm.row,SUM(_xlpm.row)))),(data_mod!$Q$2:$Q$63="attack")*(_xlfn.BYROW(_xlfn.HSTACK(N(data_mod!$Z$2:$Z$63=A5),N(data_mod!$AB$2:$AB$63=A5)),_xlfn.LAMBDA(_xlpm.row,SUM(_xlpm.row)))))/C5</f>
        <v>0.6</v>
      </c>
      <c r="L5" s="31" cm="1">
        <f t="array" ref="L5">SUM((data_mod!$J$2:$J$63="maneuver")*(_xlfn.BYROW(_xlfn.HSTACK(N(data_mod!$Y$2:$Y$63=A5),N(data_mod!$AA$2:$AA$63=A5)),_xlfn.LAMBDA(_xlpm.row,SUM(_xlpm.row)))),(data_mod!$Q$2:$Q$63="maneuver")*(_xlfn.BYROW(_xlfn.HSTACK(N(data_mod!$Z$2:$Z$63=A5),N(data_mod!$AB$2:$AB$63=A5)),_xlfn.LAMBDA(_xlpm.row,SUM(_xlpm.row)))))/C5</f>
        <v>0.4</v>
      </c>
      <c r="M5" s="32" cm="1">
        <f t="array" ref="M5">SUM((data_mod!$J$2:$J$63="defend")*(_xlfn.BYROW(_xlfn.HSTACK(N(data_mod!$Y$2:$Y$63=A5),N(data_mod!$AA$2:$AA$63=A5)),_xlfn.LAMBDA(_xlpm.row,SUM(_xlpm.row)))),(data_mod!$Q$2:$Q$63="defend")*(_xlfn.BYROW(_xlfn.HSTACK(N(data_mod!$Z$2:$Z$63=A5),N(data_mod!$AB$2:$AB$63=A5)),_xlfn.LAMBDA(_xlpm.row,SUM(_xlpm.row)))))/C5</f>
        <v>0</v>
      </c>
      <c r="N5" s="38" cm="1">
        <f t="array" ref="N5">IF(K5=0,"-",IF(($D5=0),0,SUM(N(data_mod!$F$2:$F$63="a")*(data_mod!$J$2:$J$63="attack")*(_xlfn.BYROW(_xlfn.HSTACK(N(data_mod!$Y$2:$Y$63=$A5),N(data_mod!$AA$2:$AA$63=$A5)),_xlfn.LAMBDA(_xlpm.row,SUM(_xlpm.row)))),N(data_mod!$F$2:$F$63="b")*(data_mod!$Q$2:$Q$63="attack")*(_xlfn.BYROW(_xlfn.HSTACK(N(data_mod!$Z$2:$Z$63=$A5),N(data_mod!$AB$2:$AB$63=$A5)),_xlfn.LAMBDA(_xlpm.row,SUM(_xlpm.row)))))/($C5*$K5)))</f>
        <v>0.33333333333333331</v>
      </c>
      <c r="O5" s="39" cm="1">
        <f t="array" ref="O5">IF(L5=0,"-",IF(($L5=0),0,SUM(N(data_mod!$F$2:$F$63="a")*(data_mod!$J$2:$J$63="maneuver")*(_xlfn.BYROW(_xlfn.HSTACK(N(data_mod!$Y$2:$Y$63=$A5),N(data_mod!$AA$2:$AA$63=$A5)),_xlfn.LAMBDA(_xlpm.row,SUM(_xlpm.row)))),N(data_mod!$F$2:$F$63="b")*(data_mod!$Q$2:$Q$63="maneuver")*(_xlfn.BYROW(_xlfn.HSTACK(N(data_mod!$Z$2:$Z$63=$A5),N(data_mod!$AB$2:$AB$63=$A5)),_xlfn.LAMBDA(_xlpm.row,SUM(_xlpm.row)))))/($C5*$L5)))</f>
        <v>0.5</v>
      </c>
      <c r="P5" s="40" t="str" cm="1">
        <f t="array" ref="P5">IF(M5=0,"-",IF(($D5=0),0,SUM(N(data_mod!$F$2:$F$63="a")*(data_mod!$J$2:$J$63="defend")*(_xlfn.BYROW(_xlfn.HSTACK(N(data_mod!$Y$2:$Y$63=$A5),N(data_mod!$AA$2:$AA$63=$A5)),_xlfn.LAMBDA(_xlpm.row,SUM(_xlpm.row)))),N(data_mod!$F$2:$F$63="b")*(data_mod!$Q$2:$Q$63="defend")*(_xlfn.BYROW(_xlfn.HSTACK(N(data_mod!$Z$2:$Z$63=$A5),N(data_mod!$AB$2:$AB$63=$A5)),_xlfn.LAMBDA(_xlpm.row,SUM(_xlpm.row)))))/($C5*$M5)))</f>
        <v>-</v>
      </c>
      <c r="Q5" s="38" cm="1">
        <f t="array" ref="Q5">IF(SUM((data_mod!$M$2:$M$63="attacker")*(_xlfn.BYROW(_xlfn.HSTACK(N(data_mod!$Y$2:$Y$63=$A5),N(data_mod!$AA$2:$AA$63=$A5)),_xlfn.LAMBDA(_xlpm.row,SUM(_xlpm.row)))),(data_mod!$T$2:$T$63="attacker")*(_xlfn.BYROW(_xlfn.HSTACK(N(data_mod!$Z$2:$Z$63=$A5),N(data_mod!$AB$2:$AB$63=$A5)),_xlfn.LAMBDA(_xlpm.row,SUM(_xlpm.row)))))=0,"-",IF(($D5=0),0,SUM(N(data_mod!$F$2:$F$63="a")*(data_mod!$M$2:$M$63="attacker")*(_xlfn.BYROW(_xlfn.HSTACK(N(data_mod!$Y$2:$Y$63=$A5),N(data_mod!$AA$2:$AA$63=$A5)),_xlfn.LAMBDA(_xlpm.row,SUM(_xlpm.row)))),N(data_mod!$F$2:$F$63="b")*(data_mod!$T$2:$T$63="attacker")*(_xlfn.BYROW(_xlfn.HSTACK(N(data_mod!$Z$2:$Z$63=$A5),N(data_mod!$AB$2:$AB$63=$A5)),_xlfn.LAMBDA(_xlpm.row,SUM(_xlpm.row)))))/SUM((data_mod!$M$2:$M$63="attacker")*(_xlfn.BYROW(_xlfn.HSTACK(N(data_mod!$Y$2:$Y$63=$A5),N(data_mod!$AA$2:$AA$63=$A5)),_xlfn.LAMBDA(_xlpm.row,SUM(_xlpm.row)))),(data_mod!$T$2:$T$63="attacker")*(_xlfn.BYROW(_xlfn.HSTACK(N(data_mod!$Z$2:$Z$63=$A5),N(data_mod!$AB$2:$AB$63=$A5)),_xlfn.LAMBDA(_xlpm.row,SUM(_xlpm.row)))))))</f>
        <v>0.4</v>
      </c>
      <c r="R5" s="40" t="str" cm="1">
        <f t="array" ref="R5">IF(SUM((data_mod!$M$2:$M$63="defender")*(_xlfn.BYROW(_xlfn.HSTACK(N(data_mod!$Y$2:$Y$63=$A5),N(data_mod!$AA$2:$AA$63=$A5)),_xlfn.LAMBDA(_xlpm.row,SUM(_xlpm.row)))),(data_mod!$T$2:$T$63="defender")*(_xlfn.BYROW(_xlfn.HSTACK(N(data_mod!$Z$2:$Z$63=$A5),N(data_mod!$AB$2:$AB$63=$A5)),_xlfn.LAMBDA(_xlpm.row,SUM(_xlpm.row)))))=0,"-",IF(($D5=0),0,SUM(N(data_mod!$F$2:$F$63="a")*(data_mod!$M$2:$M$63="defender")*(_xlfn.BYROW(_xlfn.HSTACK(N(data_mod!$Y$2:$Y$63=$A5),N(data_mod!$AA$2:$AA$63=$A5)),_xlfn.LAMBDA(_xlpm.row,SUM(_xlpm.row)))),N(data_mod!$F$2:$F$63="b")*(data_mod!$T$2:$T$63="defender")*(_xlfn.BYROW(_xlfn.HSTACK(N(data_mod!$Z$2:$Z$63=$A5),N(data_mod!$AB$2:$AB$63=$A5)),_xlfn.LAMBDA(_xlpm.row,SUM(_xlpm.row)))))/SUM((data_mod!$M$2:$M$63="defender")*(_xlfn.BYROW(_xlfn.HSTACK(N(data_mod!$Y$2:$Y$63=$A5),N(data_mod!$AA$2:$AA$63=$A5)),_xlfn.LAMBDA(_xlpm.row,SUM(_xlpm.row)))),(data_mod!$T$2:$T$63="defender")*(_xlfn.BYROW(_xlfn.HSTACK(N(data_mod!$Z$2:$Z$63=$A5),N(data_mod!$AB$2:$AB$63=$A5)),_xlfn.LAMBDA(_xlpm.row,SUM(_xlpm.row)))))))</f>
        <v>-</v>
      </c>
    </row>
    <row r="6" spans="1:18" x14ac:dyDescent="0.25">
      <c r="A6" s="45" t="s">
        <v>138</v>
      </c>
      <c r="B6" s="1" cm="1">
        <f t="array" ref="B6">SUM(N(_xlfn.VSTACK('Player-Force'!$F$3:$F$28,'Player-Force'!$G$3:$G$28,'Player-Force'!$J$3:$J$28,'Player-Force'!$K$3:$K$28)=A6))</f>
        <v>1</v>
      </c>
      <c r="C6" s="18" cm="1">
        <f t="array" ref="C6">SUM(_xlfn.BYROW(_xlfn.HSTACK(N(data_mod!$Y$2:$Y$63=A6),N(data_mod!$AA$2:$AA$63=A6)),_xlfn.LAMBDA(_xlpm.row,SUM(_xlpm.row))),_xlfn.BYROW(_xlfn.HSTACK(N(data_mod!$Z$2:$Z$63=A6),N(data_mod!$AB$2:$AB$63=A6)),_xlfn.LAMBDA(_xlpm.row,SUM(_xlpm.row))))</f>
        <v>5</v>
      </c>
      <c r="D6" s="44" cm="1">
        <f t="array" ref="D6">SUM((data_mod!$F$2:$F$63="a")*(_xlfn.BYROW(_xlfn.HSTACK(N(data_mod!$Y$2:$Y$63=A6),N(data_mod!$AA$2:$AA$63=A6)),_xlfn.LAMBDA(_xlpm.row,SUM(_xlpm.row)))),(data_mod!$F$2:$F$63="b")*(_xlfn.BYROW(_xlfn.HSTACK(N(data_mod!$Z$2:$Z$63=A6),N(data_mod!$AB$2:$AB$63=A6)),_xlfn.LAMBDA(_xlpm.row,SUM(_xlpm.row)))))/C6</f>
        <v>0.4</v>
      </c>
      <c r="E6" s="31" cm="1">
        <f t="array" ref="E6">SUM((data_mod!$F$2:$F$63="b")*(_xlfn.BYROW(_xlfn.HSTACK(N(data_mod!$Y$2:$Y$63=A6),N(data_mod!$AA$2:$AA$63=A6)),_xlfn.LAMBDA(_xlpm.row,SUM(_xlpm.row)))),(data_mod!$F$2:$F$63="a")*(_xlfn.BYROW(_xlfn.HSTACK(N(data_mod!$Z$2:$Z$63=A6),N(data_mod!$AB$2:$AB$63=A6)),_xlfn.LAMBDA(_xlpm.row,SUM(_xlpm.row)))))/C6</f>
        <v>0.4</v>
      </c>
      <c r="F6" s="32" cm="1">
        <f t="array" ref="F6">SUM((data_mod!$F$2:$F$63="none")*(_xlfn.BYROW(_xlfn.HSTACK(N(data_mod!$Y$2:$Y$63=A6),N(data_mod!$AA$2:$AA$63=A6)),_xlfn.LAMBDA(_xlpm.row,SUM(_xlpm.row)))),(data_mod!$F$2:$F$63="none")*(_xlfn.BYROW(_xlfn.HSTACK(N(data_mod!$Z$2:$Z$63=A6),N(data_mod!$AB$2:$AB$63=A6)),_xlfn.LAMBDA(_xlpm.row,SUM(_xlpm.row)))))/C6</f>
        <v>0.2</v>
      </c>
      <c r="G6" s="34" cm="1">
        <f t="array" ref="G6">SUM((data_mod!$L$2:$L$63)*(_xlfn.BYROW(_xlfn.HSTACK(N(data_mod!$Y$2:$Y$63=A6),N(data_mod!$AA$2:$AA$63=A6)),_xlfn.LAMBDA(_xlpm.row,SUM(_xlpm.row)))),(data_mod!$S$2:$S$63)*(_xlfn.BYROW(_xlfn.HSTACK(N(data_mod!$Z$2:$Z$63=A6),N(data_mod!$AB$2:$AB$63=A6)),_xlfn.LAMBDA(_xlpm.row,SUM(_xlpm.row)))))/C6</f>
        <v>4.2</v>
      </c>
      <c r="H6" s="28" cm="1">
        <f t="array" ref="H6">SUM((data_mod!$K$2:$K$63)*(_xlfn.BYROW(_xlfn.HSTACK(N(data_mod!$Y$2:$Y$63=A6),N(data_mod!$AA$2:$AA$63=A6)),_xlfn.LAMBDA(_xlpm.row,SUM(_xlpm.row)))),(data_mod!$R$2:$R$63)*(_xlfn.BYROW(_xlfn.HSTACK(N(data_mod!$Z$2:$Z$63=A6),N(data_mod!$AB$2:$AB$63=A6)),_xlfn.LAMBDA(_xlpm.row,SUM(_xlpm.row)))))/C6</f>
        <v>1</v>
      </c>
      <c r="I6" s="28" cm="1">
        <f t="array" ref="I6">SUM((data_mod!$R$2:$R$63)*(_xlfn.BYROW(_xlfn.HSTACK(N(data_mod!$Y$2:$Y$63=A6),N(data_mod!$AA$2:$AA$63=A6)),_xlfn.LAMBDA(_xlpm.row,SUM(_xlpm.row)))),(data_mod!$K$2:$K$63)*(_xlfn.BYROW(_xlfn.HSTACK(N(data_mod!$Z$2:$Z$63=A6),N(data_mod!$AB$2:$AB$63=A6)),_xlfn.LAMBDA(_xlpm.row,SUM(_xlpm.row)))))/C6</f>
        <v>2</v>
      </c>
      <c r="J6" s="35">
        <f t="shared" si="0"/>
        <v>2</v>
      </c>
      <c r="K6" s="30" cm="1">
        <f t="array" ref="K6">SUM((data_mod!$J$2:$J$63="attack")*(_xlfn.BYROW(_xlfn.HSTACK(N(data_mod!$Y$2:$Y$63=A6),N(data_mod!$AA$2:$AA$63=A6)),_xlfn.LAMBDA(_xlpm.row,SUM(_xlpm.row)))),(data_mod!$Q$2:$Q$63="attack")*(_xlfn.BYROW(_xlfn.HSTACK(N(data_mod!$Z$2:$Z$63=A6),N(data_mod!$AB$2:$AB$63=A6)),_xlfn.LAMBDA(_xlpm.row,SUM(_xlpm.row)))))/C6</f>
        <v>0.6</v>
      </c>
      <c r="L6" s="31" cm="1">
        <f t="array" ref="L6">SUM((data_mod!$J$2:$J$63="maneuver")*(_xlfn.BYROW(_xlfn.HSTACK(N(data_mod!$Y$2:$Y$63=A6),N(data_mod!$AA$2:$AA$63=A6)),_xlfn.LAMBDA(_xlpm.row,SUM(_xlpm.row)))),(data_mod!$Q$2:$Q$63="maneuver")*(_xlfn.BYROW(_xlfn.HSTACK(N(data_mod!$Z$2:$Z$63=A6),N(data_mod!$AB$2:$AB$63=A6)),_xlfn.LAMBDA(_xlpm.row,SUM(_xlpm.row)))))/C6</f>
        <v>0.4</v>
      </c>
      <c r="M6" s="32" cm="1">
        <f t="array" ref="M6">SUM((data_mod!$J$2:$J$63="defend")*(_xlfn.BYROW(_xlfn.HSTACK(N(data_mod!$Y$2:$Y$63=A6),N(data_mod!$AA$2:$AA$63=A6)),_xlfn.LAMBDA(_xlpm.row,SUM(_xlpm.row)))),(data_mod!$Q$2:$Q$63="defend")*(_xlfn.BYROW(_xlfn.HSTACK(N(data_mod!$Z$2:$Z$63=A6),N(data_mod!$AB$2:$AB$63=A6)),_xlfn.LAMBDA(_xlpm.row,SUM(_xlpm.row)))))/C6</f>
        <v>0</v>
      </c>
      <c r="N6" s="38" cm="1">
        <f t="array" ref="N6">IF(K6=0,"-",IF(($D6=0),0,SUM(N(data_mod!$F$2:$F$63="a")*(data_mod!$J$2:$J$63="attack")*(_xlfn.BYROW(_xlfn.HSTACK(N(data_mod!$Y$2:$Y$63=$A6),N(data_mod!$AA$2:$AA$63=$A6)),_xlfn.LAMBDA(_xlpm.row,SUM(_xlpm.row)))),N(data_mod!$F$2:$F$63="b")*(data_mod!$Q$2:$Q$63="attack")*(_xlfn.BYROW(_xlfn.HSTACK(N(data_mod!$Z$2:$Z$63=$A6),N(data_mod!$AB$2:$AB$63=$A6)),_xlfn.LAMBDA(_xlpm.row,SUM(_xlpm.row)))))/($C6*$K6)))</f>
        <v>0.66666666666666663</v>
      </c>
      <c r="O6" s="39" cm="1">
        <f t="array" ref="O6">IF(L6=0,"-",IF(($L6=0),0,SUM(N(data_mod!$F$2:$F$63="a")*(data_mod!$J$2:$J$63="maneuver")*(_xlfn.BYROW(_xlfn.HSTACK(N(data_mod!$Y$2:$Y$63=$A6),N(data_mod!$AA$2:$AA$63=$A6)),_xlfn.LAMBDA(_xlpm.row,SUM(_xlpm.row)))),N(data_mod!$F$2:$F$63="b")*(data_mod!$Q$2:$Q$63="maneuver")*(_xlfn.BYROW(_xlfn.HSTACK(N(data_mod!$Z$2:$Z$63=$A6),N(data_mod!$AB$2:$AB$63=$A6)),_xlfn.LAMBDA(_xlpm.row,SUM(_xlpm.row)))))/($C6*$L6)))</f>
        <v>0</v>
      </c>
      <c r="P6" s="40" t="str" cm="1">
        <f t="array" ref="P6">IF(M6=0,"-",IF(($D6=0),0,SUM(N(data_mod!$F$2:$F$63="a")*(data_mod!$J$2:$J$63="defend")*(_xlfn.BYROW(_xlfn.HSTACK(N(data_mod!$Y$2:$Y$63=$A6),N(data_mod!$AA$2:$AA$63=$A6)),_xlfn.LAMBDA(_xlpm.row,SUM(_xlpm.row)))),N(data_mod!$F$2:$F$63="b")*(data_mod!$Q$2:$Q$63="defend")*(_xlfn.BYROW(_xlfn.HSTACK(N(data_mod!$Z$2:$Z$63=$A6),N(data_mod!$AB$2:$AB$63=$A6)),_xlfn.LAMBDA(_xlpm.row,SUM(_xlpm.row)))))/($C6*$M6)))</f>
        <v>-</v>
      </c>
      <c r="Q6" s="38" cm="1">
        <f t="array" ref="Q6">IF(SUM((data_mod!$M$2:$M$63="attacker")*(_xlfn.BYROW(_xlfn.HSTACK(N(data_mod!$Y$2:$Y$63=$A6),N(data_mod!$AA$2:$AA$63=$A6)),_xlfn.LAMBDA(_xlpm.row,SUM(_xlpm.row)))),(data_mod!$T$2:$T$63="attacker")*(_xlfn.BYROW(_xlfn.HSTACK(N(data_mod!$Z$2:$Z$63=$A6),N(data_mod!$AB$2:$AB$63=$A6)),_xlfn.LAMBDA(_xlpm.row,SUM(_xlpm.row)))))=0,"-",IF(($D6=0),0,SUM(N(data_mod!$F$2:$F$63="a")*(data_mod!$M$2:$M$63="attacker")*(_xlfn.BYROW(_xlfn.HSTACK(N(data_mod!$Y$2:$Y$63=$A6),N(data_mod!$AA$2:$AA$63=$A6)),_xlfn.LAMBDA(_xlpm.row,SUM(_xlpm.row)))),N(data_mod!$F$2:$F$63="b")*(data_mod!$T$2:$T$63="attacker")*(_xlfn.BYROW(_xlfn.HSTACK(N(data_mod!$Z$2:$Z$63=$A6),N(data_mod!$AB$2:$AB$63=$A6)),_xlfn.LAMBDA(_xlpm.row,SUM(_xlpm.row)))))/SUM((data_mod!$M$2:$M$63="attacker")*(_xlfn.BYROW(_xlfn.HSTACK(N(data_mod!$Y$2:$Y$63=$A6),N(data_mod!$AA$2:$AA$63=$A6)),_xlfn.LAMBDA(_xlpm.row,SUM(_xlpm.row)))),(data_mod!$T$2:$T$63="attacker")*(_xlfn.BYROW(_xlfn.HSTACK(N(data_mod!$Z$2:$Z$63=$A6),N(data_mod!$AB$2:$AB$63=$A6)),_xlfn.LAMBDA(_xlpm.row,SUM(_xlpm.row)))))))</f>
        <v>0.4</v>
      </c>
      <c r="R6" s="40" t="str" cm="1">
        <f t="array" ref="R6">IF(SUM((data_mod!$M$2:$M$63="defender")*(_xlfn.BYROW(_xlfn.HSTACK(N(data_mod!$Y$2:$Y$63=$A6),N(data_mod!$AA$2:$AA$63=$A6)),_xlfn.LAMBDA(_xlpm.row,SUM(_xlpm.row)))),(data_mod!$T$2:$T$63="defender")*(_xlfn.BYROW(_xlfn.HSTACK(N(data_mod!$Z$2:$Z$63=$A6),N(data_mod!$AB$2:$AB$63=$A6)),_xlfn.LAMBDA(_xlpm.row,SUM(_xlpm.row)))))=0,"-",IF(($D6=0),0,SUM(N(data_mod!$F$2:$F$63="a")*(data_mod!$M$2:$M$63="defender")*(_xlfn.BYROW(_xlfn.HSTACK(N(data_mod!$Y$2:$Y$63=$A6),N(data_mod!$AA$2:$AA$63=$A6)),_xlfn.LAMBDA(_xlpm.row,SUM(_xlpm.row)))),N(data_mod!$F$2:$F$63="b")*(data_mod!$T$2:$T$63="defender")*(_xlfn.BYROW(_xlfn.HSTACK(N(data_mod!$Z$2:$Z$63=$A6),N(data_mod!$AB$2:$AB$63=$A6)),_xlfn.LAMBDA(_xlpm.row,SUM(_xlpm.row)))))/SUM((data_mod!$M$2:$M$63="defender")*(_xlfn.BYROW(_xlfn.HSTACK(N(data_mod!$Y$2:$Y$63=$A6),N(data_mod!$AA$2:$AA$63=$A6)),_xlfn.LAMBDA(_xlpm.row,SUM(_xlpm.row)))),(data_mod!$T$2:$T$63="defender")*(_xlfn.BYROW(_xlfn.HSTACK(N(data_mod!$Z$2:$Z$63=$A6),N(data_mod!$AB$2:$AB$63=$A6)),_xlfn.LAMBDA(_xlpm.row,SUM(_xlpm.row)))))))</f>
        <v>-</v>
      </c>
    </row>
    <row r="7" spans="1:18" x14ac:dyDescent="0.25">
      <c r="A7" s="45" t="s">
        <v>139</v>
      </c>
      <c r="B7" s="1" cm="1">
        <f t="array" ref="B7">SUM(N(_xlfn.VSTACK('Player-Force'!$F$3:$F$28,'Player-Force'!$G$3:$G$28,'Player-Force'!$J$3:$J$28,'Player-Force'!$K$3:$K$28)=A7))</f>
        <v>3</v>
      </c>
      <c r="C7" s="18" cm="1">
        <f t="array" ref="C7">SUM(_xlfn.BYROW(_xlfn.HSTACK(N(data_mod!$Y$2:$Y$63=A7),N(data_mod!$AA$2:$AA$63=A7)),_xlfn.LAMBDA(_xlpm.row,SUM(_xlpm.row))),_xlfn.BYROW(_xlfn.HSTACK(N(data_mod!$Z$2:$Z$63=A7),N(data_mod!$AB$2:$AB$63=A7)),_xlfn.LAMBDA(_xlpm.row,SUM(_xlpm.row))))</f>
        <v>8</v>
      </c>
      <c r="D7" s="44" cm="1">
        <f t="array" ref="D7">SUM((data_mod!$F$2:$F$63="a")*(_xlfn.BYROW(_xlfn.HSTACK(N(data_mod!$Y$2:$Y$63=A7),N(data_mod!$AA$2:$AA$63=A7)),_xlfn.LAMBDA(_xlpm.row,SUM(_xlpm.row)))),(data_mod!$F$2:$F$63="b")*(_xlfn.BYROW(_xlfn.HSTACK(N(data_mod!$Z$2:$Z$63=A7),N(data_mod!$AB$2:$AB$63=A7)),_xlfn.LAMBDA(_xlpm.row,SUM(_xlpm.row)))))/C7</f>
        <v>0.25</v>
      </c>
      <c r="E7" s="31" cm="1">
        <f t="array" ref="E7">SUM((data_mod!$F$2:$F$63="b")*(_xlfn.BYROW(_xlfn.HSTACK(N(data_mod!$Y$2:$Y$63=A7),N(data_mod!$AA$2:$AA$63=A7)),_xlfn.LAMBDA(_xlpm.row,SUM(_xlpm.row)))),(data_mod!$F$2:$F$63="a")*(_xlfn.BYROW(_xlfn.HSTACK(N(data_mod!$Z$2:$Z$63=A7),N(data_mod!$AB$2:$AB$63=A7)),_xlfn.LAMBDA(_xlpm.row,SUM(_xlpm.row)))))/C7</f>
        <v>0.625</v>
      </c>
      <c r="F7" s="32" cm="1">
        <f t="array" ref="F7">SUM((data_mod!$F$2:$F$63="none")*(_xlfn.BYROW(_xlfn.HSTACK(N(data_mod!$Y$2:$Y$63=A7),N(data_mod!$AA$2:$AA$63=A7)),_xlfn.LAMBDA(_xlpm.row,SUM(_xlpm.row)))),(data_mod!$F$2:$F$63="none")*(_xlfn.BYROW(_xlfn.HSTACK(N(data_mod!$Z$2:$Z$63=A7),N(data_mod!$AB$2:$AB$63=A7)),_xlfn.LAMBDA(_xlpm.row,SUM(_xlpm.row)))))/C7</f>
        <v>0.125</v>
      </c>
      <c r="G7" s="34" cm="1">
        <f t="array" ref="G7">SUM((data_mod!$L$2:$L$63)*(_xlfn.BYROW(_xlfn.HSTACK(N(data_mod!$Y$2:$Y$63=A7),N(data_mod!$AA$2:$AA$63=A7)),_xlfn.LAMBDA(_xlpm.row,SUM(_xlpm.row)))),(data_mod!$S$2:$S$63)*(_xlfn.BYROW(_xlfn.HSTACK(N(data_mod!$Z$2:$Z$63=A7),N(data_mod!$AB$2:$AB$63=A7)),_xlfn.LAMBDA(_xlpm.row,SUM(_xlpm.row)))))/C7</f>
        <v>3</v>
      </c>
      <c r="H7" s="28" cm="1">
        <f t="array" ref="H7">SUM((data_mod!$K$2:$K$63)*(_xlfn.BYROW(_xlfn.HSTACK(N(data_mod!$Y$2:$Y$63=A7),N(data_mod!$AA$2:$AA$63=A7)),_xlfn.LAMBDA(_xlpm.row,SUM(_xlpm.row)))),(data_mod!$R$2:$R$63)*(_xlfn.BYROW(_xlfn.HSTACK(N(data_mod!$Z$2:$Z$63=A7),N(data_mod!$AB$2:$AB$63=A7)),_xlfn.LAMBDA(_xlpm.row,SUM(_xlpm.row)))))/C7</f>
        <v>2.5</v>
      </c>
      <c r="I7" s="28" cm="1">
        <f t="array" ref="I7">SUM((data_mod!$R$2:$R$63)*(_xlfn.BYROW(_xlfn.HSTACK(N(data_mod!$Y$2:$Y$63=A7),N(data_mod!$AA$2:$AA$63=A7)),_xlfn.LAMBDA(_xlpm.row,SUM(_xlpm.row)))),(data_mod!$K$2:$K$63)*(_xlfn.BYROW(_xlfn.HSTACK(N(data_mod!$Z$2:$Z$63=A7),N(data_mod!$AB$2:$AB$63=A7)),_xlfn.LAMBDA(_xlpm.row,SUM(_xlpm.row)))))/C7</f>
        <v>2.125</v>
      </c>
      <c r="J7" s="35">
        <f t="shared" si="0"/>
        <v>0.85</v>
      </c>
      <c r="K7" s="30" cm="1">
        <f t="array" ref="K7">SUM((data_mod!$J$2:$J$63="attack")*(_xlfn.BYROW(_xlfn.HSTACK(N(data_mod!$Y$2:$Y$63=A7),N(data_mod!$AA$2:$AA$63=A7)),_xlfn.LAMBDA(_xlpm.row,SUM(_xlpm.row)))),(data_mod!$Q$2:$Q$63="attack")*(_xlfn.BYROW(_xlfn.HSTACK(N(data_mod!$Z$2:$Z$63=A7),N(data_mod!$AB$2:$AB$63=A7)),_xlfn.LAMBDA(_xlpm.row,SUM(_xlpm.row)))))/C7</f>
        <v>0.375</v>
      </c>
      <c r="L7" s="31" cm="1">
        <f t="array" ref="L7">SUM((data_mod!$J$2:$J$63="maneuver")*(_xlfn.BYROW(_xlfn.HSTACK(N(data_mod!$Y$2:$Y$63=A7),N(data_mod!$AA$2:$AA$63=A7)),_xlfn.LAMBDA(_xlpm.row,SUM(_xlpm.row)))),(data_mod!$Q$2:$Q$63="maneuver")*(_xlfn.BYROW(_xlfn.HSTACK(N(data_mod!$Z$2:$Z$63=A7),N(data_mod!$AB$2:$AB$63=A7)),_xlfn.LAMBDA(_xlpm.row,SUM(_xlpm.row)))))/C7</f>
        <v>0</v>
      </c>
      <c r="M7" s="32" cm="1">
        <f t="array" ref="M7">SUM((data_mod!$J$2:$J$63="defend")*(_xlfn.BYROW(_xlfn.HSTACK(N(data_mod!$Y$2:$Y$63=A7),N(data_mod!$AA$2:$AA$63=A7)),_xlfn.LAMBDA(_xlpm.row,SUM(_xlpm.row)))),(data_mod!$Q$2:$Q$63="defend")*(_xlfn.BYROW(_xlfn.HSTACK(N(data_mod!$Z$2:$Z$63=A7),N(data_mod!$AB$2:$AB$63=A7)),_xlfn.LAMBDA(_xlpm.row,SUM(_xlpm.row)))))/C7</f>
        <v>0.625</v>
      </c>
      <c r="N7" s="38" cm="1">
        <f t="array" ref="N7">IF(K7=0,"-",IF(($D7=0),0,SUM(N(data_mod!$F$2:$F$63="a")*(data_mod!$J$2:$J$63="attack")*(_xlfn.BYROW(_xlfn.HSTACK(N(data_mod!$Y$2:$Y$63=$A7),N(data_mod!$AA$2:$AA$63=$A7)),_xlfn.LAMBDA(_xlpm.row,SUM(_xlpm.row)))),N(data_mod!$F$2:$F$63="b")*(data_mod!$Q$2:$Q$63="attack")*(_xlfn.BYROW(_xlfn.HSTACK(N(data_mod!$Z$2:$Z$63=$A7),N(data_mod!$AB$2:$AB$63=$A7)),_xlfn.LAMBDA(_xlpm.row,SUM(_xlpm.row)))))/($C7*$K7)))</f>
        <v>0</v>
      </c>
      <c r="O7" s="39" t="str" cm="1">
        <f t="array" ref="O7">IF(L7=0,"-",IF(($L7=0),0,SUM(N(data_mod!$F$2:$F$63="a")*(data_mod!$J$2:$J$63="maneuver")*(_xlfn.BYROW(_xlfn.HSTACK(N(data_mod!$Y$2:$Y$63=$A7),N(data_mod!$AA$2:$AA$63=$A7)),_xlfn.LAMBDA(_xlpm.row,SUM(_xlpm.row)))),N(data_mod!$F$2:$F$63="b")*(data_mod!$Q$2:$Q$63="maneuver")*(_xlfn.BYROW(_xlfn.HSTACK(N(data_mod!$Z$2:$Z$63=$A7),N(data_mod!$AB$2:$AB$63=$A7)),_xlfn.LAMBDA(_xlpm.row,SUM(_xlpm.row)))))/($C7*$L7)))</f>
        <v>-</v>
      </c>
      <c r="P7" s="40" cm="1">
        <f t="array" ref="P7">IF(M7=0,"-",IF(($D7=0),0,SUM(N(data_mod!$F$2:$F$63="a")*(data_mod!$J$2:$J$63="defend")*(_xlfn.BYROW(_xlfn.HSTACK(N(data_mod!$Y$2:$Y$63=$A7),N(data_mod!$AA$2:$AA$63=$A7)),_xlfn.LAMBDA(_xlpm.row,SUM(_xlpm.row)))),N(data_mod!$F$2:$F$63="b")*(data_mod!$Q$2:$Q$63="defend")*(_xlfn.BYROW(_xlfn.HSTACK(N(data_mod!$Z$2:$Z$63=$A7),N(data_mod!$AB$2:$AB$63=$A7)),_xlfn.LAMBDA(_xlpm.row,SUM(_xlpm.row)))))/($C7*$M7)))</f>
        <v>0.4</v>
      </c>
      <c r="Q7" s="38" cm="1">
        <f t="array" ref="Q7">IF(SUM((data_mod!$M$2:$M$63="attacker")*(_xlfn.BYROW(_xlfn.HSTACK(N(data_mod!$Y$2:$Y$63=$A7),N(data_mod!$AA$2:$AA$63=$A7)),_xlfn.LAMBDA(_xlpm.row,SUM(_xlpm.row)))),(data_mod!$T$2:$T$63="attacker")*(_xlfn.BYROW(_xlfn.HSTACK(N(data_mod!$Z$2:$Z$63=$A7),N(data_mod!$AB$2:$AB$63=$A7)),_xlfn.LAMBDA(_xlpm.row,SUM(_xlpm.row)))))=0,"-",IF(($D7=0),0,SUM(N(data_mod!$F$2:$F$63="a")*(data_mod!$M$2:$M$63="attacker")*(_xlfn.BYROW(_xlfn.HSTACK(N(data_mod!$Y$2:$Y$63=$A7),N(data_mod!$AA$2:$AA$63=$A7)),_xlfn.LAMBDA(_xlpm.row,SUM(_xlpm.row)))),N(data_mod!$F$2:$F$63="b")*(data_mod!$T$2:$T$63="attacker")*(_xlfn.BYROW(_xlfn.HSTACK(N(data_mod!$Z$2:$Z$63=$A7),N(data_mod!$AB$2:$AB$63=$A7)),_xlfn.LAMBDA(_xlpm.row,SUM(_xlpm.row)))))/SUM((data_mod!$M$2:$M$63="attacker")*(_xlfn.BYROW(_xlfn.HSTACK(N(data_mod!$Y$2:$Y$63=$A7),N(data_mod!$AA$2:$AA$63=$A7)),_xlfn.LAMBDA(_xlpm.row,SUM(_xlpm.row)))),(data_mod!$T$2:$T$63="attacker")*(_xlfn.BYROW(_xlfn.HSTACK(N(data_mod!$Z$2:$Z$63=$A7),N(data_mod!$AB$2:$AB$63=$A7)),_xlfn.LAMBDA(_xlpm.row,SUM(_xlpm.row)))))))</f>
        <v>0</v>
      </c>
      <c r="R7" s="40" cm="1">
        <f t="array" ref="R7">IF(SUM((data_mod!$M$2:$M$63="defender")*(_xlfn.BYROW(_xlfn.HSTACK(N(data_mod!$Y$2:$Y$63=$A7),N(data_mod!$AA$2:$AA$63=$A7)),_xlfn.LAMBDA(_xlpm.row,SUM(_xlpm.row)))),(data_mod!$T$2:$T$63="defender")*(_xlfn.BYROW(_xlfn.HSTACK(N(data_mod!$Z$2:$Z$63=$A7),N(data_mod!$AB$2:$AB$63=$A7)),_xlfn.LAMBDA(_xlpm.row,SUM(_xlpm.row)))))=0,"-",IF(($D7=0),0,SUM(N(data_mod!$F$2:$F$63="a")*(data_mod!$M$2:$M$63="defender")*(_xlfn.BYROW(_xlfn.HSTACK(N(data_mod!$Y$2:$Y$63=$A7),N(data_mod!$AA$2:$AA$63=$A7)),_xlfn.LAMBDA(_xlpm.row,SUM(_xlpm.row)))),N(data_mod!$F$2:$F$63="b")*(data_mod!$T$2:$T$63="defender")*(_xlfn.BYROW(_xlfn.HSTACK(N(data_mod!$Z$2:$Z$63=$A7),N(data_mod!$AB$2:$AB$63=$A7)),_xlfn.LAMBDA(_xlpm.row,SUM(_xlpm.row)))))/SUM((data_mod!$M$2:$M$63="defender")*(_xlfn.BYROW(_xlfn.HSTACK(N(data_mod!$Y$2:$Y$63=$A7),N(data_mod!$AA$2:$AA$63=$A7)),_xlfn.LAMBDA(_xlpm.row,SUM(_xlpm.row)))),(data_mod!$T$2:$T$63="defender")*(_xlfn.BYROW(_xlfn.HSTACK(N(data_mod!$Z$2:$Z$63=$A7),N(data_mod!$AB$2:$AB$63=$A7)),_xlfn.LAMBDA(_xlpm.row,SUM(_xlpm.row)))))))</f>
        <v>0.4</v>
      </c>
    </row>
    <row r="8" spans="1:18" x14ac:dyDescent="0.25">
      <c r="A8" s="45" t="s">
        <v>140</v>
      </c>
      <c r="B8" s="1" cm="1">
        <f t="array" ref="B8">SUM(N(_xlfn.VSTACK('Player-Force'!$F$3:$F$28,'Player-Force'!$G$3:$G$28,'Player-Force'!$J$3:$J$28,'Player-Force'!$K$3:$K$28)=A8))</f>
        <v>1</v>
      </c>
      <c r="C8" s="18" cm="1">
        <f t="array" ref="C8">SUM(_xlfn.BYROW(_xlfn.HSTACK(N(data_mod!$Y$2:$Y$63=A8),N(data_mod!$AA$2:$AA$63=A8)),_xlfn.LAMBDA(_xlpm.row,SUM(_xlpm.row))),_xlfn.BYROW(_xlfn.HSTACK(N(data_mod!$Z$2:$Z$63=A8),N(data_mod!$AB$2:$AB$63=A8)),_xlfn.LAMBDA(_xlpm.row,SUM(_xlpm.row))))</f>
        <v>2</v>
      </c>
      <c r="D8" s="44" cm="1">
        <f t="array" ref="D8">SUM((data_mod!$F$2:$F$63="a")*(_xlfn.BYROW(_xlfn.HSTACK(N(data_mod!$Y$2:$Y$63=A8),N(data_mod!$AA$2:$AA$63=A8)),_xlfn.LAMBDA(_xlpm.row,SUM(_xlpm.row)))),(data_mod!$F$2:$F$63="b")*(_xlfn.BYROW(_xlfn.HSTACK(N(data_mod!$Z$2:$Z$63=A8),N(data_mod!$AB$2:$AB$63=A8)),_xlfn.LAMBDA(_xlpm.row,SUM(_xlpm.row)))))/C8</f>
        <v>0.5</v>
      </c>
      <c r="E8" s="31" cm="1">
        <f t="array" ref="E8">SUM((data_mod!$F$2:$F$63="b")*(_xlfn.BYROW(_xlfn.HSTACK(N(data_mod!$Y$2:$Y$63=A8),N(data_mod!$AA$2:$AA$63=A8)),_xlfn.LAMBDA(_xlpm.row,SUM(_xlpm.row)))),(data_mod!$F$2:$F$63="a")*(_xlfn.BYROW(_xlfn.HSTACK(N(data_mod!$Z$2:$Z$63=A8),N(data_mod!$AB$2:$AB$63=A8)),_xlfn.LAMBDA(_xlpm.row,SUM(_xlpm.row)))))/C8</f>
        <v>0.5</v>
      </c>
      <c r="F8" s="32" cm="1">
        <f t="array" ref="F8">SUM((data_mod!$F$2:$F$63="none")*(_xlfn.BYROW(_xlfn.HSTACK(N(data_mod!$Y$2:$Y$63=A8),N(data_mod!$AA$2:$AA$63=A8)),_xlfn.LAMBDA(_xlpm.row,SUM(_xlpm.row)))),(data_mod!$F$2:$F$63="none")*(_xlfn.BYROW(_xlfn.HSTACK(N(data_mod!$Z$2:$Z$63=A8),N(data_mod!$AB$2:$AB$63=A8)),_xlfn.LAMBDA(_xlpm.row,SUM(_xlpm.row)))))/C8</f>
        <v>0</v>
      </c>
      <c r="G8" s="34" cm="1">
        <f t="array" ref="G8">SUM((data_mod!$L$2:$L$63)*(_xlfn.BYROW(_xlfn.HSTACK(N(data_mod!$Y$2:$Y$63=A8),N(data_mod!$AA$2:$AA$63=A8)),_xlfn.LAMBDA(_xlpm.row,SUM(_xlpm.row)))),(data_mod!$S$2:$S$63)*(_xlfn.BYROW(_xlfn.HSTACK(N(data_mod!$Z$2:$Z$63=A8),N(data_mod!$AB$2:$AB$63=A8)),_xlfn.LAMBDA(_xlpm.row,SUM(_xlpm.row)))))/C8</f>
        <v>4.5</v>
      </c>
      <c r="H8" s="28" cm="1">
        <f t="array" ref="H8">SUM((data_mod!$K$2:$K$63)*(_xlfn.BYROW(_xlfn.HSTACK(N(data_mod!$Y$2:$Y$63=A8),N(data_mod!$AA$2:$AA$63=A8)),_xlfn.LAMBDA(_xlpm.row,SUM(_xlpm.row)))),(data_mod!$R$2:$R$63)*(_xlfn.BYROW(_xlfn.HSTACK(N(data_mod!$Z$2:$Z$63=A8),N(data_mod!$AB$2:$AB$63=A8)),_xlfn.LAMBDA(_xlpm.row,SUM(_xlpm.row)))))/C8</f>
        <v>2</v>
      </c>
      <c r="I8" s="28" cm="1">
        <f t="array" ref="I8">SUM((data_mod!$R$2:$R$63)*(_xlfn.BYROW(_xlfn.HSTACK(N(data_mod!$Y$2:$Y$63=A8),N(data_mod!$AA$2:$AA$63=A8)),_xlfn.LAMBDA(_xlpm.row,SUM(_xlpm.row)))),(data_mod!$K$2:$K$63)*(_xlfn.BYROW(_xlfn.HSTACK(N(data_mod!$Z$2:$Z$63=A8),N(data_mod!$AB$2:$AB$63=A8)),_xlfn.LAMBDA(_xlpm.row,SUM(_xlpm.row)))))/C8</f>
        <v>1</v>
      </c>
      <c r="J8" s="35">
        <f t="shared" si="0"/>
        <v>0.5</v>
      </c>
      <c r="K8" s="30" cm="1">
        <f t="array" ref="K8">SUM((data_mod!$J$2:$J$63="attack")*(_xlfn.BYROW(_xlfn.HSTACK(N(data_mod!$Y$2:$Y$63=A8),N(data_mod!$AA$2:$AA$63=A8)),_xlfn.LAMBDA(_xlpm.row,SUM(_xlpm.row)))),(data_mod!$Q$2:$Q$63="attack")*(_xlfn.BYROW(_xlfn.HSTACK(N(data_mod!$Z$2:$Z$63=A8),N(data_mod!$AB$2:$AB$63=A8)),_xlfn.LAMBDA(_xlpm.row,SUM(_xlpm.row)))))/C8</f>
        <v>0.5</v>
      </c>
      <c r="L8" s="31" cm="1">
        <f t="array" ref="L8">SUM((data_mod!$J$2:$J$63="maneuver")*(_xlfn.BYROW(_xlfn.HSTACK(N(data_mod!$Y$2:$Y$63=A8),N(data_mod!$AA$2:$AA$63=A8)),_xlfn.LAMBDA(_xlpm.row,SUM(_xlpm.row)))),(data_mod!$Q$2:$Q$63="maneuver")*(_xlfn.BYROW(_xlfn.HSTACK(N(data_mod!$Z$2:$Z$63=A8),N(data_mod!$AB$2:$AB$63=A8)),_xlfn.LAMBDA(_xlpm.row,SUM(_xlpm.row)))))/C8</f>
        <v>0</v>
      </c>
      <c r="M8" s="32" cm="1">
        <f t="array" ref="M8">SUM((data_mod!$J$2:$J$63="defend")*(_xlfn.BYROW(_xlfn.HSTACK(N(data_mod!$Y$2:$Y$63=A8),N(data_mod!$AA$2:$AA$63=A8)),_xlfn.LAMBDA(_xlpm.row,SUM(_xlpm.row)))),(data_mod!$Q$2:$Q$63="defend")*(_xlfn.BYROW(_xlfn.HSTACK(N(data_mod!$Z$2:$Z$63=A8),N(data_mod!$AB$2:$AB$63=A8)),_xlfn.LAMBDA(_xlpm.row,SUM(_xlpm.row)))))/C8</f>
        <v>0.5</v>
      </c>
      <c r="N8" s="38" cm="1">
        <f t="array" ref="N8">IF(K8=0,"-",IF(($D8=0),0,SUM(N(data_mod!$F$2:$F$63="a")*(data_mod!$J$2:$J$63="attack")*(_xlfn.BYROW(_xlfn.HSTACK(N(data_mod!$Y$2:$Y$63=$A8),N(data_mod!$AA$2:$AA$63=$A8)),_xlfn.LAMBDA(_xlpm.row,SUM(_xlpm.row)))),N(data_mod!$F$2:$F$63="b")*(data_mod!$Q$2:$Q$63="attack")*(_xlfn.BYROW(_xlfn.HSTACK(N(data_mod!$Z$2:$Z$63=$A8),N(data_mod!$AB$2:$AB$63=$A8)),_xlfn.LAMBDA(_xlpm.row,SUM(_xlpm.row)))))/($C8*$K8)))</f>
        <v>0</v>
      </c>
      <c r="O8" s="39" t="str" cm="1">
        <f t="array" ref="O8">IF(L8=0,"-",IF(($L8=0),0,SUM(N(data_mod!$F$2:$F$63="a")*(data_mod!$J$2:$J$63="maneuver")*(_xlfn.BYROW(_xlfn.HSTACK(N(data_mod!$Y$2:$Y$63=$A8),N(data_mod!$AA$2:$AA$63=$A8)),_xlfn.LAMBDA(_xlpm.row,SUM(_xlpm.row)))),N(data_mod!$F$2:$F$63="b")*(data_mod!$Q$2:$Q$63="maneuver")*(_xlfn.BYROW(_xlfn.HSTACK(N(data_mod!$Z$2:$Z$63=$A8),N(data_mod!$AB$2:$AB$63=$A8)),_xlfn.LAMBDA(_xlpm.row,SUM(_xlpm.row)))))/($C8*$L8)))</f>
        <v>-</v>
      </c>
      <c r="P8" s="40" cm="1">
        <f t="array" ref="P8">IF(M8=0,"-",IF(($D8=0),0,SUM(N(data_mod!$F$2:$F$63="a")*(data_mod!$J$2:$J$63="defend")*(_xlfn.BYROW(_xlfn.HSTACK(N(data_mod!$Y$2:$Y$63=$A8),N(data_mod!$AA$2:$AA$63=$A8)),_xlfn.LAMBDA(_xlpm.row,SUM(_xlpm.row)))),N(data_mod!$F$2:$F$63="b")*(data_mod!$Q$2:$Q$63="defend")*(_xlfn.BYROW(_xlfn.HSTACK(N(data_mod!$Z$2:$Z$63=$A8),N(data_mod!$AB$2:$AB$63=$A8)),_xlfn.LAMBDA(_xlpm.row,SUM(_xlpm.row)))))/($C8*$M8)))</f>
        <v>1</v>
      </c>
      <c r="Q8" s="38" cm="1">
        <f t="array" ref="Q8">IF(SUM((data_mod!$M$2:$M$63="attacker")*(_xlfn.BYROW(_xlfn.HSTACK(N(data_mod!$Y$2:$Y$63=$A8),N(data_mod!$AA$2:$AA$63=$A8)),_xlfn.LAMBDA(_xlpm.row,SUM(_xlpm.row)))),(data_mod!$T$2:$T$63="attacker")*(_xlfn.BYROW(_xlfn.HSTACK(N(data_mod!$Z$2:$Z$63=$A8),N(data_mod!$AB$2:$AB$63=$A8)),_xlfn.LAMBDA(_xlpm.row,SUM(_xlpm.row)))))=0,"-",IF(($D8=0),0,SUM(N(data_mod!$F$2:$F$63="a")*(data_mod!$M$2:$M$63="attacker")*(_xlfn.BYROW(_xlfn.HSTACK(N(data_mod!$Y$2:$Y$63=$A8),N(data_mod!$AA$2:$AA$63=$A8)),_xlfn.LAMBDA(_xlpm.row,SUM(_xlpm.row)))),N(data_mod!$F$2:$F$63="b")*(data_mod!$T$2:$T$63="attacker")*(_xlfn.BYROW(_xlfn.HSTACK(N(data_mod!$Z$2:$Z$63=$A8),N(data_mod!$AB$2:$AB$63=$A8)),_xlfn.LAMBDA(_xlpm.row,SUM(_xlpm.row)))))/SUM((data_mod!$M$2:$M$63="attacker")*(_xlfn.BYROW(_xlfn.HSTACK(N(data_mod!$Y$2:$Y$63=$A8),N(data_mod!$AA$2:$AA$63=$A8)),_xlfn.LAMBDA(_xlpm.row,SUM(_xlpm.row)))),(data_mod!$T$2:$T$63="attacker")*(_xlfn.BYROW(_xlfn.HSTACK(N(data_mod!$Z$2:$Z$63=$A8),N(data_mod!$AB$2:$AB$63=$A8)),_xlfn.LAMBDA(_xlpm.row,SUM(_xlpm.row)))))))</f>
        <v>1</v>
      </c>
      <c r="R8" s="40" cm="1">
        <f t="array" ref="R8">IF(SUM((data_mod!$M$2:$M$63="defender")*(_xlfn.BYROW(_xlfn.HSTACK(N(data_mod!$Y$2:$Y$63=$A8),N(data_mod!$AA$2:$AA$63=$A8)),_xlfn.LAMBDA(_xlpm.row,SUM(_xlpm.row)))),(data_mod!$T$2:$T$63="defender")*(_xlfn.BYROW(_xlfn.HSTACK(N(data_mod!$Z$2:$Z$63=$A8),N(data_mod!$AB$2:$AB$63=$A8)),_xlfn.LAMBDA(_xlpm.row,SUM(_xlpm.row)))))=0,"-",IF(($D8=0),0,SUM(N(data_mod!$F$2:$F$63="a")*(data_mod!$M$2:$M$63="defender")*(_xlfn.BYROW(_xlfn.HSTACK(N(data_mod!$Y$2:$Y$63=$A8),N(data_mod!$AA$2:$AA$63=$A8)),_xlfn.LAMBDA(_xlpm.row,SUM(_xlpm.row)))),N(data_mod!$F$2:$F$63="b")*(data_mod!$T$2:$T$63="defender")*(_xlfn.BYROW(_xlfn.HSTACK(N(data_mod!$Z$2:$Z$63=$A8),N(data_mod!$AB$2:$AB$63=$A8)),_xlfn.LAMBDA(_xlpm.row,SUM(_xlpm.row)))))/SUM((data_mod!$M$2:$M$63="defender")*(_xlfn.BYROW(_xlfn.HSTACK(N(data_mod!$Y$2:$Y$63=$A8),N(data_mod!$AA$2:$AA$63=$A8)),_xlfn.LAMBDA(_xlpm.row,SUM(_xlpm.row)))),(data_mod!$T$2:$T$63="defender")*(_xlfn.BYROW(_xlfn.HSTACK(N(data_mod!$Z$2:$Z$63=$A8),N(data_mod!$AB$2:$AB$63=$A8)),_xlfn.LAMBDA(_xlpm.row,SUM(_xlpm.row)))))))</f>
        <v>0</v>
      </c>
    </row>
    <row r="9" spans="1:18" x14ac:dyDescent="0.25">
      <c r="A9" s="45" t="s">
        <v>141</v>
      </c>
      <c r="B9" s="1" cm="1">
        <f t="array" ref="B9">SUM(N(_xlfn.VSTACK('Player-Force'!$F$3:$F$28,'Player-Force'!$G$3:$G$28,'Player-Force'!$J$3:$J$28,'Player-Force'!$K$3:$K$28)=A9))</f>
        <v>1</v>
      </c>
      <c r="C9" s="18" cm="1">
        <f t="array" ref="C9">SUM(_xlfn.BYROW(_xlfn.HSTACK(N(data_mod!$Y$2:$Y$63=A9),N(data_mod!$AA$2:$AA$63=A9)),_xlfn.LAMBDA(_xlpm.row,SUM(_xlpm.row))),_xlfn.BYROW(_xlfn.HSTACK(N(data_mod!$Z$2:$Z$63=A9),N(data_mod!$AB$2:$AB$63=A9)),_xlfn.LAMBDA(_xlpm.row,SUM(_xlpm.row))))</f>
        <v>3</v>
      </c>
      <c r="D9" s="44" cm="1">
        <f t="array" ref="D9">SUM((data_mod!$F$2:$F$63="a")*(_xlfn.BYROW(_xlfn.HSTACK(N(data_mod!$Y$2:$Y$63=A9),N(data_mod!$AA$2:$AA$63=A9)),_xlfn.LAMBDA(_xlpm.row,SUM(_xlpm.row)))),(data_mod!$F$2:$F$63="b")*(_xlfn.BYROW(_xlfn.HSTACK(N(data_mod!$Z$2:$Z$63=A9),N(data_mod!$AB$2:$AB$63=A9)),_xlfn.LAMBDA(_xlpm.row,SUM(_xlpm.row)))))/C9</f>
        <v>0.33333333333333331</v>
      </c>
      <c r="E9" s="31" cm="1">
        <f t="array" ref="E9">SUM((data_mod!$F$2:$F$63="b")*(_xlfn.BYROW(_xlfn.HSTACK(N(data_mod!$Y$2:$Y$63=A9),N(data_mod!$AA$2:$AA$63=A9)),_xlfn.LAMBDA(_xlpm.row,SUM(_xlpm.row)))),(data_mod!$F$2:$F$63="a")*(_xlfn.BYROW(_xlfn.HSTACK(N(data_mod!$Z$2:$Z$63=A9),N(data_mod!$AB$2:$AB$63=A9)),_xlfn.LAMBDA(_xlpm.row,SUM(_xlpm.row)))))/C9</f>
        <v>0.33333333333333331</v>
      </c>
      <c r="F9" s="32" cm="1">
        <f t="array" ref="F9">SUM((data_mod!$F$2:$F$63="none")*(_xlfn.BYROW(_xlfn.HSTACK(N(data_mod!$Y$2:$Y$63=A9),N(data_mod!$AA$2:$AA$63=A9)),_xlfn.LAMBDA(_xlpm.row,SUM(_xlpm.row)))),(data_mod!$F$2:$F$63="none")*(_xlfn.BYROW(_xlfn.HSTACK(N(data_mod!$Z$2:$Z$63=A9),N(data_mod!$AB$2:$AB$63=A9)),_xlfn.LAMBDA(_xlpm.row,SUM(_xlpm.row)))))/C9</f>
        <v>0.33333333333333331</v>
      </c>
      <c r="G9" s="34" cm="1">
        <f t="array" ref="G9">SUM((data_mod!$L$2:$L$63)*(_xlfn.BYROW(_xlfn.HSTACK(N(data_mod!$Y$2:$Y$63=A9),N(data_mod!$AA$2:$AA$63=A9)),_xlfn.LAMBDA(_xlpm.row,SUM(_xlpm.row)))),(data_mod!$S$2:$S$63)*(_xlfn.BYROW(_xlfn.HSTACK(N(data_mod!$Z$2:$Z$63=A9),N(data_mod!$AB$2:$AB$63=A9)),_xlfn.LAMBDA(_xlpm.row,SUM(_xlpm.row)))))/C9</f>
        <v>4</v>
      </c>
      <c r="H9" s="28" cm="1">
        <f t="array" ref="H9">SUM((data_mod!$K$2:$K$63)*(_xlfn.BYROW(_xlfn.HSTACK(N(data_mod!$Y$2:$Y$63=A9),N(data_mod!$AA$2:$AA$63=A9)),_xlfn.LAMBDA(_xlpm.row,SUM(_xlpm.row)))),(data_mod!$R$2:$R$63)*(_xlfn.BYROW(_xlfn.HSTACK(N(data_mod!$Z$2:$Z$63=A9),N(data_mod!$AB$2:$AB$63=A9)),_xlfn.LAMBDA(_xlpm.row,SUM(_xlpm.row)))))/C9</f>
        <v>2.6666666666666665</v>
      </c>
      <c r="I9" s="28" cm="1">
        <f t="array" ref="I9">SUM((data_mod!$R$2:$R$63)*(_xlfn.BYROW(_xlfn.HSTACK(N(data_mod!$Y$2:$Y$63=A9),N(data_mod!$AA$2:$AA$63=A9)),_xlfn.LAMBDA(_xlpm.row,SUM(_xlpm.row)))),(data_mod!$K$2:$K$63)*(_xlfn.BYROW(_xlfn.HSTACK(N(data_mod!$Z$2:$Z$63=A9),N(data_mod!$AB$2:$AB$63=A9)),_xlfn.LAMBDA(_xlpm.row,SUM(_xlpm.row)))))/C9</f>
        <v>2.6666666666666665</v>
      </c>
      <c r="J9" s="35">
        <f t="shared" si="0"/>
        <v>1</v>
      </c>
      <c r="K9" s="30" cm="1">
        <f t="array" ref="K9">SUM((data_mod!$J$2:$J$63="attack")*(_xlfn.BYROW(_xlfn.HSTACK(N(data_mod!$Y$2:$Y$63=A9),N(data_mod!$AA$2:$AA$63=A9)),_xlfn.LAMBDA(_xlpm.row,SUM(_xlpm.row)))),(data_mod!$Q$2:$Q$63="attack")*(_xlfn.BYROW(_xlfn.HSTACK(N(data_mod!$Z$2:$Z$63=A9),N(data_mod!$AB$2:$AB$63=A9)),_xlfn.LAMBDA(_xlpm.row,SUM(_xlpm.row)))))/C9</f>
        <v>0</v>
      </c>
      <c r="L9" s="31" cm="1">
        <f t="array" ref="L9">SUM((data_mod!$J$2:$J$63="maneuver")*(_xlfn.BYROW(_xlfn.HSTACK(N(data_mod!$Y$2:$Y$63=A9),N(data_mod!$AA$2:$AA$63=A9)),_xlfn.LAMBDA(_xlpm.row,SUM(_xlpm.row)))),(data_mod!$Q$2:$Q$63="maneuver")*(_xlfn.BYROW(_xlfn.HSTACK(N(data_mod!$Z$2:$Z$63=A9),N(data_mod!$AB$2:$AB$63=A9)),_xlfn.LAMBDA(_xlpm.row,SUM(_xlpm.row)))))/C9</f>
        <v>1</v>
      </c>
      <c r="M9" s="32" cm="1">
        <f t="array" ref="M9">SUM((data_mod!$J$2:$J$63="defend")*(_xlfn.BYROW(_xlfn.HSTACK(N(data_mod!$Y$2:$Y$63=A9),N(data_mod!$AA$2:$AA$63=A9)),_xlfn.LAMBDA(_xlpm.row,SUM(_xlpm.row)))),(data_mod!$Q$2:$Q$63="defend")*(_xlfn.BYROW(_xlfn.HSTACK(N(data_mod!$Z$2:$Z$63=A9),N(data_mod!$AB$2:$AB$63=A9)),_xlfn.LAMBDA(_xlpm.row,SUM(_xlpm.row)))))/C9</f>
        <v>0</v>
      </c>
      <c r="N9" s="38" t="str" cm="1">
        <f t="array" ref="N9">IF(K9=0,"-",IF(($D9=0),0,SUM(N(data_mod!$F$2:$F$63="a")*(data_mod!$J$2:$J$63="attack")*(_xlfn.BYROW(_xlfn.HSTACK(N(data_mod!$Y$2:$Y$63=$A9),N(data_mod!$AA$2:$AA$63=$A9)),_xlfn.LAMBDA(_xlpm.row,SUM(_xlpm.row)))),N(data_mod!$F$2:$F$63="b")*(data_mod!$Q$2:$Q$63="attack")*(_xlfn.BYROW(_xlfn.HSTACK(N(data_mod!$Z$2:$Z$63=$A9),N(data_mod!$AB$2:$AB$63=$A9)),_xlfn.LAMBDA(_xlpm.row,SUM(_xlpm.row)))))/($C9*$K9)))</f>
        <v>-</v>
      </c>
      <c r="O9" s="39" cm="1">
        <f t="array" ref="O9">IF(L9=0,"-",IF(($L9=0),0,SUM(N(data_mod!$F$2:$F$63="a")*(data_mod!$J$2:$J$63="maneuver")*(_xlfn.BYROW(_xlfn.HSTACK(N(data_mod!$Y$2:$Y$63=$A9),N(data_mod!$AA$2:$AA$63=$A9)),_xlfn.LAMBDA(_xlpm.row,SUM(_xlpm.row)))),N(data_mod!$F$2:$F$63="b")*(data_mod!$Q$2:$Q$63="maneuver")*(_xlfn.BYROW(_xlfn.HSTACK(N(data_mod!$Z$2:$Z$63=$A9),N(data_mod!$AB$2:$AB$63=$A9)),_xlfn.LAMBDA(_xlpm.row,SUM(_xlpm.row)))))/($C9*$L9)))</f>
        <v>0.33333333333333331</v>
      </c>
      <c r="P9" s="40" t="str" cm="1">
        <f t="array" ref="P9">IF(M9=0,"-",IF(($D9=0),0,SUM(N(data_mod!$F$2:$F$63="a")*(data_mod!$J$2:$J$63="defend")*(_xlfn.BYROW(_xlfn.HSTACK(N(data_mod!$Y$2:$Y$63=$A9),N(data_mod!$AA$2:$AA$63=$A9)),_xlfn.LAMBDA(_xlpm.row,SUM(_xlpm.row)))),N(data_mod!$F$2:$F$63="b")*(data_mod!$Q$2:$Q$63="defend")*(_xlfn.BYROW(_xlfn.HSTACK(N(data_mod!$Z$2:$Z$63=$A9),N(data_mod!$AB$2:$AB$63=$A9)),_xlfn.LAMBDA(_xlpm.row,SUM(_xlpm.row)))))/($C9*$M9)))</f>
        <v>-</v>
      </c>
      <c r="Q9" s="38" cm="1">
        <f t="array" ref="Q9">IF(SUM((data_mod!$M$2:$M$63="attacker")*(_xlfn.BYROW(_xlfn.HSTACK(N(data_mod!$Y$2:$Y$63=$A9),N(data_mod!$AA$2:$AA$63=$A9)),_xlfn.LAMBDA(_xlpm.row,SUM(_xlpm.row)))),(data_mod!$T$2:$T$63="attacker")*(_xlfn.BYROW(_xlfn.HSTACK(N(data_mod!$Z$2:$Z$63=$A9),N(data_mod!$AB$2:$AB$63=$A9)),_xlfn.LAMBDA(_xlpm.row,SUM(_xlpm.row)))))=0,"-",IF(($D9=0),0,SUM(N(data_mod!$F$2:$F$63="a")*(data_mod!$M$2:$M$63="attacker")*(_xlfn.BYROW(_xlfn.HSTACK(N(data_mod!$Y$2:$Y$63=$A9),N(data_mod!$AA$2:$AA$63=$A9)),_xlfn.LAMBDA(_xlpm.row,SUM(_xlpm.row)))),N(data_mod!$F$2:$F$63="b")*(data_mod!$T$2:$T$63="attacker")*(_xlfn.BYROW(_xlfn.HSTACK(N(data_mod!$Z$2:$Z$63=$A9),N(data_mod!$AB$2:$AB$63=$A9)),_xlfn.LAMBDA(_xlpm.row,SUM(_xlpm.row)))))/SUM((data_mod!$M$2:$M$63="attacker")*(_xlfn.BYROW(_xlfn.HSTACK(N(data_mod!$Y$2:$Y$63=$A9),N(data_mod!$AA$2:$AA$63=$A9)),_xlfn.LAMBDA(_xlpm.row,SUM(_xlpm.row)))),(data_mod!$T$2:$T$63="attacker")*(_xlfn.BYROW(_xlfn.HSTACK(N(data_mod!$Z$2:$Z$63=$A9),N(data_mod!$AB$2:$AB$63=$A9)),_xlfn.LAMBDA(_xlpm.row,SUM(_xlpm.row)))))))</f>
        <v>0.5</v>
      </c>
      <c r="R9" s="40" cm="1">
        <f t="array" ref="R9">IF(SUM((data_mod!$M$2:$M$63="defender")*(_xlfn.BYROW(_xlfn.HSTACK(N(data_mod!$Y$2:$Y$63=$A9),N(data_mod!$AA$2:$AA$63=$A9)),_xlfn.LAMBDA(_xlpm.row,SUM(_xlpm.row)))),(data_mod!$T$2:$T$63="defender")*(_xlfn.BYROW(_xlfn.HSTACK(N(data_mod!$Z$2:$Z$63=$A9),N(data_mod!$AB$2:$AB$63=$A9)),_xlfn.LAMBDA(_xlpm.row,SUM(_xlpm.row)))))=0,"-",IF(($D9=0),0,SUM(N(data_mod!$F$2:$F$63="a")*(data_mod!$M$2:$M$63="defender")*(_xlfn.BYROW(_xlfn.HSTACK(N(data_mod!$Y$2:$Y$63=$A9),N(data_mod!$AA$2:$AA$63=$A9)),_xlfn.LAMBDA(_xlpm.row,SUM(_xlpm.row)))),N(data_mod!$F$2:$F$63="b")*(data_mod!$T$2:$T$63="defender")*(_xlfn.BYROW(_xlfn.HSTACK(N(data_mod!$Z$2:$Z$63=$A9),N(data_mod!$AB$2:$AB$63=$A9)),_xlfn.LAMBDA(_xlpm.row,SUM(_xlpm.row)))))/SUM((data_mod!$M$2:$M$63="defender")*(_xlfn.BYROW(_xlfn.HSTACK(N(data_mod!$Y$2:$Y$63=$A9),N(data_mod!$AA$2:$AA$63=$A9)),_xlfn.LAMBDA(_xlpm.row,SUM(_xlpm.row)))),(data_mod!$T$2:$T$63="defender")*(_xlfn.BYROW(_xlfn.HSTACK(N(data_mod!$Z$2:$Z$63=$A9),N(data_mod!$AB$2:$AB$63=$A9)),_xlfn.LAMBDA(_xlpm.row,SUM(_xlpm.row)))))))</f>
        <v>0</v>
      </c>
    </row>
    <row r="10" spans="1:18" x14ac:dyDescent="0.25">
      <c r="A10" s="45" t="s">
        <v>144</v>
      </c>
      <c r="B10" s="1" cm="1">
        <f t="array" ref="B10">SUM(N(_xlfn.VSTACK('Player-Force'!$F$3:$F$28,'Player-Force'!$G$3:$G$28,'Player-Force'!$J$3:$J$28,'Player-Force'!$K$3:$K$28)=A10))</f>
        <v>3</v>
      </c>
      <c r="C10" s="18" cm="1">
        <f t="array" ref="C10">SUM(_xlfn.BYROW(_xlfn.HSTACK(N(data_mod!$Y$2:$Y$63=A10),N(data_mod!$AA$2:$AA$63=A10)),_xlfn.LAMBDA(_xlpm.row,SUM(_xlpm.row))),_xlfn.BYROW(_xlfn.HSTACK(N(data_mod!$Z$2:$Z$63=A10),N(data_mod!$AB$2:$AB$63=A10)),_xlfn.LAMBDA(_xlpm.row,SUM(_xlpm.row))))</f>
        <v>14</v>
      </c>
      <c r="D10" s="44" cm="1">
        <f t="array" ref="D10">SUM((data_mod!$F$2:$F$63="a")*(_xlfn.BYROW(_xlfn.HSTACK(N(data_mod!$Y$2:$Y$63=A10),N(data_mod!$AA$2:$AA$63=A10)),_xlfn.LAMBDA(_xlpm.row,SUM(_xlpm.row)))),(data_mod!$F$2:$F$63="b")*(_xlfn.BYROW(_xlfn.HSTACK(N(data_mod!$Z$2:$Z$63=A10),N(data_mod!$AB$2:$AB$63=A10)),_xlfn.LAMBDA(_xlpm.row,SUM(_xlpm.row)))))/C10</f>
        <v>0.14285714285714285</v>
      </c>
      <c r="E10" s="31" cm="1">
        <f t="array" ref="E10">SUM((data_mod!$F$2:$F$63="b")*(_xlfn.BYROW(_xlfn.HSTACK(N(data_mod!$Y$2:$Y$63=A10),N(data_mod!$AA$2:$AA$63=A10)),_xlfn.LAMBDA(_xlpm.row,SUM(_xlpm.row)))),(data_mod!$F$2:$F$63="a")*(_xlfn.BYROW(_xlfn.HSTACK(N(data_mod!$Z$2:$Z$63=A10),N(data_mod!$AB$2:$AB$63=A10)),_xlfn.LAMBDA(_xlpm.row,SUM(_xlpm.row)))))/C10</f>
        <v>0.5</v>
      </c>
      <c r="F10" s="32" cm="1">
        <f t="array" ref="F10">SUM((data_mod!$F$2:$F$63="none")*(_xlfn.BYROW(_xlfn.HSTACK(N(data_mod!$Y$2:$Y$63=A10),N(data_mod!$AA$2:$AA$63=A10)),_xlfn.LAMBDA(_xlpm.row,SUM(_xlpm.row)))),(data_mod!$F$2:$F$63="none")*(_xlfn.BYROW(_xlfn.HSTACK(N(data_mod!$Z$2:$Z$63=A10),N(data_mod!$AB$2:$AB$63=A10)),_xlfn.LAMBDA(_xlpm.row,SUM(_xlpm.row)))))/C10</f>
        <v>0.35714285714285715</v>
      </c>
      <c r="G10" s="34" cm="1">
        <f t="array" ref="G10">SUM((data_mod!$L$2:$L$63)*(_xlfn.BYROW(_xlfn.HSTACK(N(data_mod!$Y$2:$Y$63=A10),N(data_mod!$AA$2:$AA$63=A10)),_xlfn.LAMBDA(_xlpm.row,SUM(_xlpm.row)))),(data_mod!$S$2:$S$63)*(_xlfn.BYROW(_xlfn.HSTACK(N(data_mod!$Z$2:$Z$63=A10),N(data_mod!$AB$2:$AB$63=A10)),_xlfn.LAMBDA(_xlpm.row,SUM(_xlpm.row)))))/C10</f>
        <v>2.1428571428571428</v>
      </c>
      <c r="H10" s="28" cm="1">
        <f t="array" ref="H10">SUM((data_mod!$K$2:$K$63)*(_xlfn.BYROW(_xlfn.HSTACK(N(data_mod!$Y$2:$Y$63=A10),N(data_mod!$AA$2:$AA$63=A10)),_xlfn.LAMBDA(_xlpm.row,SUM(_xlpm.row)))),(data_mod!$R$2:$R$63)*(_xlfn.BYROW(_xlfn.HSTACK(N(data_mod!$Z$2:$Z$63=A10),N(data_mod!$AB$2:$AB$63=A10)),_xlfn.LAMBDA(_xlpm.row,SUM(_xlpm.row)))))/C10</f>
        <v>2.9285714285714284</v>
      </c>
      <c r="I10" s="28" cm="1">
        <f t="array" ref="I10">SUM((data_mod!$R$2:$R$63)*(_xlfn.BYROW(_xlfn.HSTACK(N(data_mod!$Y$2:$Y$63=A10),N(data_mod!$AA$2:$AA$63=A10)),_xlfn.LAMBDA(_xlpm.row,SUM(_xlpm.row)))),(data_mod!$K$2:$K$63)*(_xlfn.BYROW(_xlfn.HSTACK(N(data_mod!$Z$2:$Z$63=A10),N(data_mod!$AB$2:$AB$63=A10)),_xlfn.LAMBDA(_xlpm.row,SUM(_xlpm.row)))))/C10</f>
        <v>1.2857142857142858</v>
      </c>
      <c r="J10" s="35">
        <f t="shared" si="0"/>
        <v>0.4390243902439025</v>
      </c>
      <c r="K10" s="30" cm="1">
        <f t="array" ref="K10">SUM((data_mod!$J$2:$J$63="attack")*(_xlfn.BYROW(_xlfn.HSTACK(N(data_mod!$Y$2:$Y$63=A10),N(data_mod!$AA$2:$AA$63=A10)),_xlfn.LAMBDA(_xlpm.row,SUM(_xlpm.row)))),(data_mod!$Q$2:$Q$63="attack")*(_xlfn.BYROW(_xlfn.HSTACK(N(data_mod!$Z$2:$Z$63=A10),N(data_mod!$AB$2:$AB$63=A10)),_xlfn.LAMBDA(_xlpm.row,SUM(_xlpm.row)))))/C10</f>
        <v>0.21428571428571427</v>
      </c>
      <c r="L10" s="31" cm="1">
        <f t="array" ref="L10">SUM((data_mod!$J$2:$J$63="maneuver")*(_xlfn.BYROW(_xlfn.HSTACK(N(data_mod!$Y$2:$Y$63=A10),N(data_mod!$AA$2:$AA$63=A10)),_xlfn.LAMBDA(_xlpm.row,SUM(_xlpm.row)))),(data_mod!$Q$2:$Q$63="maneuver")*(_xlfn.BYROW(_xlfn.HSTACK(N(data_mod!$Z$2:$Z$63=A10),N(data_mod!$AB$2:$AB$63=A10)),_xlfn.LAMBDA(_xlpm.row,SUM(_xlpm.row)))))/C10</f>
        <v>0.21428571428571427</v>
      </c>
      <c r="M10" s="32" cm="1">
        <f t="array" ref="M10">SUM((data_mod!$J$2:$J$63="defend")*(_xlfn.BYROW(_xlfn.HSTACK(N(data_mod!$Y$2:$Y$63=A10),N(data_mod!$AA$2:$AA$63=A10)),_xlfn.LAMBDA(_xlpm.row,SUM(_xlpm.row)))),(data_mod!$Q$2:$Q$63="defend")*(_xlfn.BYROW(_xlfn.HSTACK(N(data_mod!$Z$2:$Z$63=A10),N(data_mod!$AB$2:$AB$63=A10)),_xlfn.LAMBDA(_xlpm.row,SUM(_xlpm.row)))))/C10</f>
        <v>0.5714285714285714</v>
      </c>
      <c r="N10" s="38" cm="1">
        <f t="array" ref="N10">IF(K10=0,"-",IF(($D10=0),0,SUM(N(data_mod!$F$2:$F$63="a")*(data_mod!$J$2:$J$63="attack")*(_xlfn.BYROW(_xlfn.HSTACK(N(data_mod!$Y$2:$Y$63=$A10),N(data_mod!$AA$2:$AA$63=$A10)),_xlfn.LAMBDA(_xlpm.row,SUM(_xlpm.row)))),N(data_mod!$F$2:$F$63="b")*(data_mod!$Q$2:$Q$63="attack")*(_xlfn.BYROW(_xlfn.HSTACK(N(data_mod!$Z$2:$Z$63=$A10),N(data_mod!$AB$2:$AB$63=$A10)),_xlfn.LAMBDA(_xlpm.row,SUM(_xlpm.row)))))/($C10*$K10)))</f>
        <v>0</v>
      </c>
      <c r="O10" s="39" cm="1">
        <f t="array" ref="O10">IF(L10=0,"-",IF(($L10=0),0,SUM(N(data_mod!$F$2:$F$63="a")*(data_mod!$J$2:$J$63="maneuver")*(_xlfn.BYROW(_xlfn.HSTACK(N(data_mod!$Y$2:$Y$63=$A10),N(data_mod!$AA$2:$AA$63=$A10)),_xlfn.LAMBDA(_xlpm.row,SUM(_xlpm.row)))),N(data_mod!$F$2:$F$63="b")*(data_mod!$Q$2:$Q$63="maneuver")*(_xlfn.BYROW(_xlfn.HSTACK(N(data_mod!$Z$2:$Z$63=$A10),N(data_mod!$AB$2:$AB$63=$A10)),_xlfn.LAMBDA(_xlpm.row,SUM(_xlpm.row)))))/($C10*$L10)))</f>
        <v>0.66666666666666663</v>
      </c>
      <c r="P10" s="40" cm="1">
        <f t="array" ref="P10">IF(M10=0,"-",IF(($D10=0),0,SUM(N(data_mod!$F$2:$F$63="a")*(data_mod!$J$2:$J$63="defend")*(_xlfn.BYROW(_xlfn.HSTACK(N(data_mod!$Y$2:$Y$63=$A10),N(data_mod!$AA$2:$AA$63=$A10)),_xlfn.LAMBDA(_xlpm.row,SUM(_xlpm.row)))),N(data_mod!$F$2:$F$63="b")*(data_mod!$Q$2:$Q$63="defend")*(_xlfn.BYROW(_xlfn.HSTACK(N(data_mod!$Z$2:$Z$63=$A10),N(data_mod!$AB$2:$AB$63=$A10)),_xlfn.LAMBDA(_xlpm.row,SUM(_xlpm.row)))))/($C10*$M10)))</f>
        <v>0</v>
      </c>
      <c r="Q10" s="38" cm="1">
        <f t="array" ref="Q10">IF(SUM((data_mod!$M$2:$M$63="attacker")*(_xlfn.BYROW(_xlfn.HSTACK(N(data_mod!$Y$2:$Y$63=$A10),N(data_mod!$AA$2:$AA$63=$A10)),_xlfn.LAMBDA(_xlpm.row,SUM(_xlpm.row)))),(data_mod!$T$2:$T$63="attacker")*(_xlfn.BYROW(_xlfn.HSTACK(N(data_mod!$Z$2:$Z$63=$A10),N(data_mod!$AB$2:$AB$63=$A10)),_xlfn.LAMBDA(_xlpm.row,SUM(_xlpm.row)))))=0,"-",IF(($D10=0),0,SUM(N(data_mod!$F$2:$F$63="a")*(data_mod!$M$2:$M$63="attacker")*(_xlfn.BYROW(_xlfn.HSTACK(N(data_mod!$Y$2:$Y$63=$A10),N(data_mod!$AA$2:$AA$63=$A10)),_xlfn.LAMBDA(_xlpm.row,SUM(_xlpm.row)))),N(data_mod!$F$2:$F$63="b")*(data_mod!$T$2:$T$63="attacker")*(_xlfn.BYROW(_xlfn.HSTACK(N(data_mod!$Z$2:$Z$63=$A10),N(data_mod!$AB$2:$AB$63=$A10)),_xlfn.LAMBDA(_xlpm.row,SUM(_xlpm.row)))))/SUM((data_mod!$M$2:$M$63="attacker")*(_xlfn.BYROW(_xlfn.HSTACK(N(data_mod!$Y$2:$Y$63=$A10),N(data_mod!$AA$2:$AA$63=$A10)),_xlfn.LAMBDA(_xlpm.row,SUM(_xlpm.row)))),(data_mod!$T$2:$T$63="attacker")*(_xlfn.BYROW(_xlfn.HSTACK(N(data_mod!$Z$2:$Z$63=$A10),N(data_mod!$AB$2:$AB$63=$A10)),_xlfn.LAMBDA(_xlpm.row,SUM(_xlpm.row)))))))</f>
        <v>0</v>
      </c>
      <c r="R10" s="40" cm="1">
        <f t="array" ref="R10">IF(SUM((data_mod!$M$2:$M$63="defender")*(_xlfn.BYROW(_xlfn.HSTACK(N(data_mod!$Y$2:$Y$63=$A10),N(data_mod!$AA$2:$AA$63=$A10)),_xlfn.LAMBDA(_xlpm.row,SUM(_xlpm.row)))),(data_mod!$T$2:$T$63="defender")*(_xlfn.BYROW(_xlfn.HSTACK(N(data_mod!$Z$2:$Z$63=$A10),N(data_mod!$AB$2:$AB$63=$A10)),_xlfn.LAMBDA(_xlpm.row,SUM(_xlpm.row)))))=0,"-",IF(($D10=0),0,SUM(N(data_mod!$F$2:$F$63="a")*(data_mod!$M$2:$M$63="defender")*(_xlfn.BYROW(_xlfn.HSTACK(N(data_mod!$Y$2:$Y$63=$A10),N(data_mod!$AA$2:$AA$63=$A10)),_xlfn.LAMBDA(_xlpm.row,SUM(_xlpm.row)))),N(data_mod!$F$2:$F$63="b")*(data_mod!$T$2:$T$63="defender")*(_xlfn.BYROW(_xlfn.HSTACK(N(data_mod!$Z$2:$Z$63=$A10),N(data_mod!$AB$2:$AB$63=$A10)),_xlfn.LAMBDA(_xlpm.row,SUM(_xlpm.row)))))/SUM((data_mod!$M$2:$M$63="defender")*(_xlfn.BYROW(_xlfn.HSTACK(N(data_mod!$Y$2:$Y$63=$A10),N(data_mod!$AA$2:$AA$63=$A10)),_xlfn.LAMBDA(_xlpm.row,SUM(_xlpm.row)))),(data_mod!$T$2:$T$63="defender")*(_xlfn.BYROW(_xlfn.HSTACK(N(data_mod!$Z$2:$Z$63=$A10),N(data_mod!$AB$2:$AB$63=$A10)),_xlfn.LAMBDA(_xlpm.row,SUM(_xlpm.row)))))))</f>
        <v>0.2857142857142857</v>
      </c>
    </row>
    <row r="11" spans="1:18" x14ac:dyDescent="0.25">
      <c r="A11" s="45" t="s">
        <v>136</v>
      </c>
      <c r="B11" s="1" cm="1">
        <f t="array" ref="B11">SUM(N(_xlfn.VSTACK('Player-Force'!$F$3:$F$28,'Player-Force'!$G$3:$G$28,'Player-Force'!$J$3:$J$28,'Player-Force'!$K$3:$K$28)=A11))</f>
        <v>3</v>
      </c>
      <c r="C11" s="18" cm="1">
        <f t="array" ref="C11">SUM(_xlfn.BYROW(_xlfn.HSTACK(N(data_mod!$Y$2:$Y$63=A11),N(data_mod!$AA$2:$AA$63=A11)),_xlfn.LAMBDA(_xlpm.row,SUM(_xlpm.row))),_xlfn.BYROW(_xlfn.HSTACK(N(data_mod!$Z$2:$Z$63=A11),N(data_mod!$AB$2:$AB$63=A11)),_xlfn.LAMBDA(_xlpm.row,SUM(_xlpm.row))))</f>
        <v>14</v>
      </c>
      <c r="D11" s="44" cm="1">
        <f t="array" ref="D11">SUM((data_mod!$F$2:$F$63="a")*(_xlfn.BYROW(_xlfn.HSTACK(N(data_mod!$Y$2:$Y$63=A11),N(data_mod!$AA$2:$AA$63=A11)),_xlfn.LAMBDA(_xlpm.row,SUM(_xlpm.row)))),(data_mod!$F$2:$F$63="b")*(_xlfn.BYROW(_xlfn.HSTACK(N(data_mod!$Z$2:$Z$63=A11),N(data_mod!$AB$2:$AB$63=A11)),_xlfn.LAMBDA(_xlpm.row,SUM(_xlpm.row)))))/C11</f>
        <v>0.21428571428571427</v>
      </c>
      <c r="E11" s="31" cm="1">
        <f t="array" ref="E11">SUM((data_mod!$F$2:$F$63="b")*(_xlfn.BYROW(_xlfn.HSTACK(N(data_mod!$Y$2:$Y$63=A11),N(data_mod!$AA$2:$AA$63=A11)),_xlfn.LAMBDA(_xlpm.row,SUM(_xlpm.row)))),(data_mod!$F$2:$F$63="a")*(_xlfn.BYROW(_xlfn.HSTACK(N(data_mod!$Z$2:$Z$63=A11),N(data_mod!$AB$2:$AB$63=A11)),_xlfn.LAMBDA(_xlpm.row,SUM(_xlpm.row)))))/C11</f>
        <v>0.35714285714285715</v>
      </c>
      <c r="F11" s="32" cm="1">
        <f t="array" ref="F11">SUM((data_mod!$F$2:$F$63="none")*(_xlfn.BYROW(_xlfn.HSTACK(N(data_mod!$Y$2:$Y$63=A11),N(data_mod!$AA$2:$AA$63=A11)),_xlfn.LAMBDA(_xlpm.row,SUM(_xlpm.row)))),(data_mod!$F$2:$F$63="none")*(_xlfn.BYROW(_xlfn.HSTACK(N(data_mod!$Z$2:$Z$63=A11),N(data_mod!$AB$2:$AB$63=A11)),_xlfn.LAMBDA(_xlpm.row,SUM(_xlpm.row)))))/C11</f>
        <v>0.42857142857142855</v>
      </c>
      <c r="G11" s="34" cm="1">
        <f t="array" ref="G11">SUM((data_mod!$L$2:$L$63)*(_xlfn.BYROW(_xlfn.HSTACK(N(data_mod!$Y$2:$Y$63=A11),N(data_mod!$AA$2:$AA$63=A11)),_xlfn.LAMBDA(_xlpm.row,SUM(_xlpm.row)))),(data_mod!$S$2:$S$63)*(_xlfn.BYROW(_xlfn.HSTACK(N(data_mod!$Z$2:$Z$63=A11),N(data_mod!$AB$2:$AB$63=A11)),_xlfn.LAMBDA(_xlpm.row,SUM(_xlpm.row)))))/C11</f>
        <v>3</v>
      </c>
      <c r="H11" s="28" cm="1">
        <f t="array" ref="H11">SUM((data_mod!$K$2:$K$63)*(_xlfn.BYROW(_xlfn.HSTACK(N(data_mod!$Y$2:$Y$63=A11),N(data_mod!$AA$2:$AA$63=A11)),_xlfn.LAMBDA(_xlpm.row,SUM(_xlpm.row)))),(data_mod!$R$2:$R$63)*(_xlfn.BYROW(_xlfn.HSTACK(N(data_mod!$Z$2:$Z$63=A11),N(data_mod!$AB$2:$AB$63=A11)),_xlfn.LAMBDA(_xlpm.row,SUM(_xlpm.row)))))/C11</f>
        <v>1.5714285714285714</v>
      </c>
      <c r="I11" s="28" cm="1">
        <f t="array" ref="I11">SUM((data_mod!$R$2:$R$63)*(_xlfn.BYROW(_xlfn.HSTACK(N(data_mod!$Y$2:$Y$63=A11),N(data_mod!$AA$2:$AA$63=A11)),_xlfn.LAMBDA(_xlpm.row,SUM(_xlpm.row)))),(data_mod!$K$2:$K$63)*(_xlfn.BYROW(_xlfn.HSTACK(N(data_mod!$Z$2:$Z$63=A11),N(data_mod!$AB$2:$AB$63=A11)),_xlfn.LAMBDA(_xlpm.row,SUM(_xlpm.row)))))/C11</f>
        <v>1.7857142857142858</v>
      </c>
      <c r="J11" s="35">
        <f t="shared" si="0"/>
        <v>1.1363636363636365</v>
      </c>
      <c r="K11" s="30" cm="1">
        <f t="array" ref="K11">SUM((data_mod!$J$2:$J$63="attack")*(_xlfn.BYROW(_xlfn.HSTACK(N(data_mod!$Y$2:$Y$63=A11),N(data_mod!$AA$2:$AA$63=A11)),_xlfn.LAMBDA(_xlpm.row,SUM(_xlpm.row)))),(data_mod!$Q$2:$Q$63="attack")*(_xlfn.BYROW(_xlfn.HSTACK(N(data_mod!$Z$2:$Z$63=A11),N(data_mod!$AB$2:$AB$63=A11)),_xlfn.LAMBDA(_xlpm.row,SUM(_xlpm.row)))))/C11</f>
        <v>0</v>
      </c>
      <c r="L11" s="31" cm="1">
        <f t="array" ref="L11">SUM((data_mod!$J$2:$J$63="maneuver")*(_xlfn.BYROW(_xlfn.HSTACK(N(data_mod!$Y$2:$Y$63=A11),N(data_mod!$AA$2:$AA$63=A11)),_xlfn.LAMBDA(_xlpm.row,SUM(_xlpm.row)))),(data_mod!$Q$2:$Q$63="maneuver")*(_xlfn.BYROW(_xlfn.HSTACK(N(data_mod!$Z$2:$Z$63=A11),N(data_mod!$AB$2:$AB$63=A11)),_xlfn.LAMBDA(_xlpm.row,SUM(_xlpm.row)))))/C11</f>
        <v>0.35714285714285715</v>
      </c>
      <c r="M11" s="32" cm="1">
        <f t="array" ref="M11">SUM((data_mod!$J$2:$J$63="defend")*(_xlfn.BYROW(_xlfn.HSTACK(N(data_mod!$Y$2:$Y$63=A11),N(data_mod!$AA$2:$AA$63=A11)),_xlfn.LAMBDA(_xlpm.row,SUM(_xlpm.row)))),(data_mod!$Q$2:$Q$63="defend")*(_xlfn.BYROW(_xlfn.HSTACK(N(data_mod!$Z$2:$Z$63=A11),N(data_mod!$AB$2:$AB$63=A11)),_xlfn.LAMBDA(_xlpm.row,SUM(_xlpm.row)))))/C11</f>
        <v>0.6428571428571429</v>
      </c>
      <c r="N11" s="38" t="str" cm="1">
        <f t="array" ref="N11">IF(K11=0,"-",IF(($D11=0),0,SUM(N(data_mod!$F$2:$F$63="a")*(data_mod!$J$2:$J$63="attack")*(_xlfn.BYROW(_xlfn.HSTACK(N(data_mod!$Y$2:$Y$63=$A11),N(data_mod!$AA$2:$AA$63=$A11)),_xlfn.LAMBDA(_xlpm.row,SUM(_xlpm.row)))),N(data_mod!$F$2:$F$63="b")*(data_mod!$Q$2:$Q$63="attack")*(_xlfn.BYROW(_xlfn.HSTACK(N(data_mod!$Z$2:$Z$63=$A11),N(data_mod!$AB$2:$AB$63=$A11)),_xlfn.LAMBDA(_xlpm.row,SUM(_xlpm.row)))))/($C11*$K11)))</f>
        <v>-</v>
      </c>
      <c r="O11" s="39" cm="1">
        <f t="array" ref="O11">IF(L11=0,"-",IF(($L11=0),0,SUM(N(data_mod!$F$2:$F$63="a")*(data_mod!$J$2:$J$63="maneuver")*(_xlfn.BYROW(_xlfn.HSTACK(N(data_mod!$Y$2:$Y$63=$A11),N(data_mod!$AA$2:$AA$63=$A11)),_xlfn.LAMBDA(_xlpm.row,SUM(_xlpm.row)))),N(data_mod!$F$2:$F$63="b")*(data_mod!$Q$2:$Q$63="maneuver")*(_xlfn.BYROW(_xlfn.HSTACK(N(data_mod!$Z$2:$Z$63=$A11),N(data_mod!$AB$2:$AB$63=$A11)),_xlfn.LAMBDA(_xlpm.row,SUM(_xlpm.row)))))/($C11*$L11)))</f>
        <v>0.2</v>
      </c>
      <c r="P11" s="40" cm="1">
        <f t="array" ref="P11">IF(M11=0,"-",IF(($D11=0),0,SUM(N(data_mod!$F$2:$F$63="a")*(data_mod!$J$2:$J$63="defend")*(_xlfn.BYROW(_xlfn.HSTACK(N(data_mod!$Y$2:$Y$63=$A11),N(data_mod!$AA$2:$AA$63=$A11)),_xlfn.LAMBDA(_xlpm.row,SUM(_xlpm.row)))),N(data_mod!$F$2:$F$63="b")*(data_mod!$Q$2:$Q$63="defend")*(_xlfn.BYROW(_xlfn.HSTACK(N(data_mod!$Z$2:$Z$63=$A11),N(data_mod!$AB$2:$AB$63=$A11)),_xlfn.LAMBDA(_xlpm.row,SUM(_xlpm.row)))))/($C11*$M11)))</f>
        <v>0.22222222222222221</v>
      </c>
      <c r="Q11" s="38" cm="1">
        <f t="array" ref="Q11">IF(SUM((data_mod!$M$2:$M$63="attacker")*(_xlfn.BYROW(_xlfn.HSTACK(N(data_mod!$Y$2:$Y$63=$A11),N(data_mod!$AA$2:$AA$63=$A11)),_xlfn.LAMBDA(_xlpm.row,SUM(_xlpm.row)))),(data_mod!$T$2:$T$63="attacker")*(_xlfn.BYROW(_xlfn.HSTACK(N(data_mod!$Z$2:$Z$63=$A11),N(data_mod!$AB$2:$AB$63=$A11)),_xlfn.LAMBDA(_xlpm.row,SUM(_xlpm.row)))))=0,"-",IF(($D11=0),0,SUM(N(data_mod!$F$2:$F$63="a")*(data_mod!$M$2:$M$63="attacker")*(_xlfn.BYROW(_xlfn.HSTACK(N(data_mod!$Y$2:$Y$63=$A11),N(data_mod!$AA$2:$AA$63=$A11)),_xlfn.LAMBDA(_xlpm.row,SUM(_xlpm.row)))),N(data_mod!$F$2:$F$63="b")*(data_mod!$T$2:$T$63="attacker")*(_xlfn.BYROW(_xlfn.HSTACK(N(data_mod!$Z$2:$Z$63=$A11),N(data_mod!$AB$2:$AB$63=$A11)),_xlfn.LAMBDA(_xlpm.row,SUM(_xlpm.row)))))/SUM((data_mod!$M$2:$M$63="attacker")*(_xlfn.BYROW(_xlfn.HSTACK(N(data_mod!$Y$2:$Y$63=$A11),N(data_mod!$AA$2:$AA$63=$A11)),_xlfn.LAMBDA(_xlpm.row,SUM(_xlpm.row)))),(data_mod!$T$2:$T$63="attacker")*(_xlfn.BYROW(_xlfn.HSTACK(N(data_mod!$Z$2:$Z$63=$A11),N(data_mod!$AB$2:$AB$63=$A11)),_xlfn.LAMBDA(_xlpm.row,SUM(_xlpm.row)))))))</f>
        <v>0</v>
      </c>
      <c r="R11" s="40" cm="1">
        <f t="array" ref="R11">IF(SUM((data_mod!$M$2:$M$63="defender")*(_xlfn.BYROW(_xlfn.HSTACK(N(data_mod!$Y$2:$Y$63=$A11),N(data_mod!$AA$2:$AA$63=$A11)),_xlfn.LAMBDA(_xlpm.row,SUM(_xlpm.row)))),(data_mod!$T$2:$T$63="defender")*(_xlfn.BYROW(_xlfn.HSTACK(N(data_mod!$Z$2:$Z$63=$A11),N(data_mod!$AB$2:$AB$63=$A11)),_xlfn.LAMBDA(_xlpm.row,SUM(_xlpm.row)))))=0,"-",IF(($D11=0),0,SUM(N(data_mod!$F$2:$F$63="a")*(data_mod!$M$2:$M$63="defender")*(_xlfn.BYROW(_xlfn.HSTACK(N(data_mod!$Y$2:$Y$63=$A11),N(data_mod!$AA$2:$AA$63=$A11)),_xlfn.LAMBDA(_xlpm.row,SUM(_xlpm.row)))),N(data_mod!$F$2:$F$63="b")*(data_mod!$T$2:$T$63="defender")*(_xlfn.BYROW(_xlfn.HSTACK(N(data_mod!$Z$2:$Z$63=$A11),N(data_mod!$AB$2:$AB$63=$A11)),_xlfn.LAMBDA(_xlpm.row,SUM(_xlpm.row)))))/SUM((data_mod!$M$2:$M$63="defender")*(_xlfn.BYROW(_xlfn.HSTACK(N(data_mod!$Y$2:$Y$63=$A11),N(data_mod!$AA$2:$AA$63=$A11)),_xlfn.LAMBDA(_xlpm.row,SUM(_xlpm.row)))),(data_mod!$T$2:$T$63="defender")*(_xlfn.BYROW(_xlfn.HSTACK(N(data_mod!$Z$2:$Z$63=$A11),N(data_mod!$AB$2:$AB$63=$A11)),_xlfn.LAMBDA(_xlpm.row,SUM(_xlpm.row)))))))</f>
        <v>0.3</v>
      </c>
    </row>
    <row r="12" spans="1:18" x14ac:dyDescent="0.25">
      <c r="A12" s="45" t="s">
        <v>145</v>
      </c>
      <c r="B12" s="1" cm="1">
        <f t="array" ref="B12">SUM(N(_xlfn.VSTACK('Player-Force'!$F$3:$F$28,'Player-Force'!$G$3:$G$28,'Player-Force'!$J$3:$J$28,'Player-Force'!$K$3:$K$28)=A12))</f>
        <v>1</v>
      </c>
      <c r="C12" s="18" cm="1">
        <f t="array" ref="C12">SUM(_xlfn.BYROW(_xlfn.HSTACK(N(data_mod!$Y$2:$Y$63=A12),N(data_mod!$AA$2:$AA$63=A12)),_xlfn.LAMBDA(_xlpm.row,SUM(_xlpm.row))),_xlfn.BYROW(_xlfn.HSTACK(N(data_mod!$Z$2:$Z$63=A12),N(data_mod!$AB$2:$AB$63=A12)),_xlfn.LAMBDA(_xlpm.row,SUM(_xlpm.row))))</f>
        <v>5</v>
      </c>
      <c r="D12" s="44" cm="1">
        <f t="array" ref="D12">SUM((data_mod!$F$2:$F$63="a")*(_xlfn.BYROW(_xlfn.HSTACK(N(data_mod!$Y$2:$Y$63=A12),N(data_mod!$AA$2:$AA$63=A12)),_xlfn.LAMBDA(_xlpm.row,SUM(_xlpm.row)))),(data_mod!$F$2:$F$63="b")*(_xlfn.BYROW(_xlfn.HSTACK(N(data_mod!$Z$2:$Z$63=A12),N(data_mod!$AB$2:$AB$63=A12)),_xlfn.LAMBDA(_xlpm.row,SUM(_xlpm.row)))))/C12</f>
        <v>0.2</v>
      </c>
      <c r="E12" s="31" cm="1">
        <f t="array" ref="E12">SUM((data_mod!$F$2:$F$63="b")*(_xlfn.BYROW(_xlfn.HSTACK(N(data_mod!$Y$2:$Y$63=A12),N(data_mod!$AA$2:$AA$63=A12)),_xlfn.LAMBDA(_xlpm.row,SUM(_xlpm.row)))),(data_mod!$F$2:$F$63="a")*(_xlfn.BYROW(_xlfn.HSTACK(N(data_mod!$Z$2:$Z$63=A12),N(data_mod!$AB$2:$AB$63=A12)),_xlfn.LAMBDA(_xlpm.row,SUM(_xlpm.row)))))/C12</f>
        <v>0.8</v>
      </c>
      <c r="F12" s="32" cm="1">
        <f t="array" ref="F12">SUM((data_mod!$F$2:$F$63="none")*(_xlfn.BYROW(_xlfn.HSTACK(N(data_mod!$Y$2:$Y$63=A12),N(data_mod!$AA$2:$AA$63=A12)),_xlfn.LAMBDA(_xlpm.row,SUM(_xlpm.row)))),(data_mod!$F$2:$F$63="none")*(_xlfn.BYROW(_xlfn.HSTACK(N(data_mod!$Z$2:$Z$63=A12),N(data_mod!$AB$2:$AB$63=A12)),_xlfn.LAMBDA(_xlpm.row,SUM(_xlpm.row)))))/C12</f>
        <v>0</v>
      </c>
      <c r="G12" s="34" cm="1">
        <f t="array" ref="G12">SUM((data_mod!$L$2:$L$63)*(_xlfn.BYROW(_xlfn.HSTACK(N(data_mod!$Y$2:$Y$63=A12),N(data_mod!$AA$2:$AA$63=A12)),_xlfn.LAMBDA(_xlpm.row,SUM(_xlpm.row)))),(data_mod!$S$2:$S$63)*(_xlfn.BYROW(_xlfn.HSTACK(N(data_mod!$Z$2:$Z$63=A12),N(data_mod!$AB$2:$AB$63=A12)),_xlfn.LAMBDA(_xlpm.row,SUM(_xlpm.row)))))/C12</f>
        <v>2.8</v>
      </c>
      <c r="H12" s="28" cm="1">
        <f t="array" ref="H12">SUM((data_mod!$K$2:$K$63)*(_xlfn.BYROW(_xlfn.HSTACK(N(data_mod!$Y$2:$Y$63=A12),N(data_mod!$AA$2:$AA$63=A12)),_xlfn.LAMBDA(_xlpm.row,SUM(_xlpm.row)))),(data_mod!$R$2:$R$63)*(_xlfn.BYROW(_xlfn.HSTACK(N(data_mod!$Z$2:$Z$63=A12),N(data_mod!$AB$2:$AB$63=A12)),_xlfn.LAMBDA(_xlpm.row,SUM(_xlpm.row)))))/C12</f>
        <v>2.4</v>
      </c>
      <c r="I12" s="28" cm="1">
        <f t="array" ref="I12">SUM((data_mod!$R$2:$R$63)*(_xlfn.BYROW(_xlfn.HSTACK(N(data_mod!$Y$2:$Y$63=A12),N(data_mod!$AA$2:$AA$63=A12)),_xlfn.LAMBDA(_xlpm.row,SUM(_xlpm.row)))),(data_mod!$K$2:$K$63)*(_xlfn.BYROW(_xlfn.HSTACK(N(data_mod!$Z$2:$Z$63=A12),N(data_mod!$AB$2:$AB$63=A12)),_xlfn.LAMBDA(_xlpm.row,SUM(_xlpm.row)))))/C12</f>
        <v>2.8</v>
      </c>
      <c r="J12" s="35">
        <f t="shared" si="0"/>
        <v>1.1666666666666667</v>
      </c>
      <c r="K12" s="30" cm="1">
        <f t="array" ref="K12">SUM((data_mod!$J$2:$J$63="attack")*(_xlfn.BYROW(_xlfn.HSTACK(N(data_mod!$Y$2:$Y$63=A12),N(data_mod!$AA$2:$AA$63=A12)),_xlfn.LAMBDA(_xlpm.row,SUM(_xlpm.row)))),(data_mod!$Q$2:$Q$63="attack")*(_xlfn.BYROW(_xlfn.HSTACK(N(data_mod!$Z$2:$Z$63=A12),N(data_mod!$AB$2:$AB$63=A12)),_xlfn.LAMBDA(_xlpm.row,SUM(_xlpm.row)))))/C12</f>
        <v>0.2</v>
      </c>
      <c r="L12" s="31" cm="1">
        <f t="array" ref="L12">SUM((data_mod!$J$2:$J$63="maneuver")*(_xlfn.BYROW(_xlfn.HSTACK(N(data_mod!$Y$2:$Y$63=A12),N(data_mod!$AA$2:$AA$63=A12)),_xlfn.LAMBDA(_xlpm.row,SUM(_xlpm.row)))),(data_mod!$Q$2:$Q$63="maneuver")*(_xlfn.BYROW(_xlfn.HSTACK(N(data_mod!$Z$2:$Z$63=A12),N(data_mod!$AB$2:$AB$63=A12)),_xlfn.LAMBDA(_xlpm.row,SUM(_xlpm.row)))))/C12</f>
        <v>0.8</v>
      </c>
      <c r="M12" s="32" cm="1">
        <f t="array" ref="M12">SUM((data_mod!$J$2:$J$63="defend")*(_xlfn.BYROW(_xlfn.HSTACK(N(data_mod!$Y$2:$Y$63=A12),N(data_mod!$AA$2:$AA$63=A12)),_xlfn.LAMBDA(_xlpm.row,SUM(_xlpm.row)))),(data_mod!$Q$2:$Q$63="defend")*(_xlfn.BYROW(_xlfn.HSTACK(N(data_mod!$Z$2:$Z$63=A12),N(data_mod!$AB$2:$AB$63=A12)),_xlfn.LAMBDA(_xlpm.row,SUM(_xlpm.row)))))/C12</f>
        <v>0</v>
      </c>
      <c r="N12" s="38" cm="1">
        <f t="array" ref="N12">IF(K12=0,"-",IF(($D12=0),0,SUM(N(data_mod!$F$2:$F$63="a")*(data_mod!$J$2:$J$63="attack")*(_xlfn.BYROW(_xlfn.HSTACK(N(data_mod!$Y$2:$Y$63=$A12),N(data_mod!$AA$2:$AA$63=$A12)),_xlfn.LAMBDA(_xlpm.row,SUM(_xlpm.row)))),N(data_mod!$F$2:$F$63="b")*(data_mod!$Q$2:$Q$63="attack")*(_xlfn.BYROW(_xlfn.HSTACK(N(data_mod!$Z$2:$Z$63=$A12),N(data_mod!$AB$2:$AB$63=$A12)),_xlfn.LAMBDA(_xlpm.row,SUM(_xlpm.row)))))/($C12*$K12)))</f>
        <v>0</v>
      </c>
      <c r="O12" s="39" cm="1">
        <f t="array" ref="O12">IF(L12=0,"-",IF(($L12=0),0,SUM(N(data_mod!$F$2:$F$63="a")*(data_mod!$J$2:$J$63="maneuver")*(_xlfn.BYROW(_xlfn.HSTACK(N(data_mod!$Y$2:$Y$63=$A12),N(data_mod!$AA$2:$AA$63=$A12)),_xlfn.LAMBDA(_xlpm.row,SUM(_xlpm.row)))),N(data_mod!$F$2:$F$63="b")*(data_mod!$Q$2:$Q$63="maneuver")*(_xlfn.BYROW(_xlfn.HSTACK(N(data_mod!$Z$2:$Z$63=$A12),N(data_mod!$AB$2:$AB$63=$A12)),_xlfn.LAMBDA(_xlpm.row,SUM(_xlpm.row)))))/($C12*$L12)))</f>
        <v>0.25</v>
      </c>
      <c r="P12" s="40" t="str" cm="1">
        <f t="array" ref="P12">IF(M12=0,"-",IF(($D12=0),0,SUM(N(data_mod!$F$2:$F$63="a")*(data_mod!$J$2:$J$63="defend")*(_xlfn.BYROW(_xlfn.HSTACK(N(data_mod!$Y$2:$Y$63=$A12),N(data_mod!$AA$2:$AA$63=$A12)),_xlfn.LAMBDA(_xlpm.row,SUM(_xlpm.row)))),N(data_mod!$F$2:$F$63="b")*(data_mod!$Q$2:$Q$63="defend")*(_xlfn.BYROW(_xlfn.HSTACK(N(data_mod!$Z$2:$Z$63=$A12),N(data_mod!$AB$2:$AB$63=$A12)),_xlfn.LAMBDA(_xlpm.row,SUM(_xlpm.row)))))/($C12*$M12)))</f>
        <v>-</v>
      </c>
      <c r="Q12" s="38" cm="1">
        <f t="array" ref="Q12">IF(SUM((data_mod!$M$2:$M$63="attacker")*(_xlfn.BYROW(_xlfn.HSTACK(N(data_mod!$Y$2:$Y$63=$A12),N(data_mod!$AA$2:$AA$63=$A12)),_xlfn.LAMBDA(_xlpm.row,SUM(_xlpm.row)))),(data_mod!$T$2:$T$63="attacker")*(_xlfn.BYROW(_xlfn.HSTACK(N(data_mod!$Z$2:$Z$63=$A12),N(data_mod!$AB$2:$AB$63=$A12)),_xlfn.LAMBDA(_xlpm.row,SUM(_xlpm.row)))))=0,"-",IF(($D12=0),0,SUM(N(data_mod!$F$2:$F$63="a")*(data_mod!$M$2:$M$63="attacker")*(_xlfn.BYROW(_xlfn.HSTACK(N(data_mod!$Y$2:$Y$63=$A12),N(data_mod!$AA$2:$AA$63=$A12)),_xlfn.LAMBDA(_xlpm.row,SUM(_xlpm.row)))),N(data_mod!$F$2:$F$63="b")*(data_mod!$T$2:$T$63="attacker")*(_xlfn.BYROW(_xlfn.HSTACK(N(data_mod!$Z$2:$Z$63=$A12),N(data_mod!$AB$2:$AB$63=$A12)),_xlfn.LAMBDA(_xlpm.row,SUM(_xlpm.row)))))/SUM((data_mod!$M$2:$M$63="attacker")*(_xlfn.BYROW(_xlfn.HSTACK(N(data_mod!$Y$2:$Y$63=$A12),N(data_mod!$AA$2:$AA$63=$A12)),_xlfn.LAMBDA(_xlpm.row,SUM(_xlpm.row)))),(data_mod!$T$2:$T$63="attacker")*(_xlfn.BYROW(_xlfn.HSTACK(N(data_mod!$Z$2:$Z$63=$A12),N(data_mod!$AB$2:$AB$63=$A12)),_xlfn.LAMBDA(_xlpm.row,SUM(_xlpm.row)))))))</f>
        <v>0</v>
      </c>
      <c r="R12" s="40" cm="1">
        <f t="array" ref="R12">IF(SUM((data_mod!$M$2:$M$63="defender")*(_xlfn.BYROW(_xlfn.HSTACK(N(data_mod!$Y$2:$Y$63=$A12),N(data_mod!$AA$2:$AA$63=$A12)),_xlfn.LAMBDA(_xlpm.row,SUM(_xlpm.row)))),(data_mod!$T$2:$T$63="defender")*(_xlfn.BYROW(_xlfn.HSTACK(N(data_mod!$Z$2:$Z$63=$A12),N(data_mod!$AB$2:$AB$63=$A12)),_xlfn.LAMBDA(_xlpm.row,SUM(_xlpm.row)))))=0,"-",IF(($D12=0),0,SUM(N(data_mod!$F$2:$F$63="a")*(data_mod!$M$2:$M$63="defender")*(_xlfn.BYROW(_xlfn.HSTACK(N(data_mod!$Y$2:$Y$63=$A12),N(data_mod!$AA$2:$AA$63=$A12)),_xlfn.LAMBDA(_xlpm.row,SUM(_xlpm.row)))),N(data_mod!$F$2:$F$63="b")*(data_mod!$T$2:$T$63="defender")*(_xlfn.BYROW(_xlfn.HSTACK(N(data_mod!$Z$2:$Z$63=$A12),N(data_mod!$AB$2:$AB$63=$A12)),_xlfn.LAMBDA(_xlpm.row,SUM(_xlpm.row)))))/SUM((data_mod!$M$2:$M$63="defender")*(_xlfn.BYROW(_xlfn.HSTACK(N(data_mod!$Y$2:$Y$63=$A12),N(data_mod!$AA$2:$AA$63=$A12)),_xlfn.LAMBDA(_xlpm.row,SUM(_xlpm.row)))),(data_mod!$T$2:$T$63="defender")*(_xlfn.BYROW(_xlfn.HSTACK(N(data_mod!$Z$2:$Z$63=$A12),N(data_mod!$AB$2:$AB$63=$A12)),_xlfn.LAMBDA(_xlpm.row,SUM(_xlpm.row)))))))</f>
        <v>0.33333333333333331</v>
      </c>
    </row>
    <row r="13" spans="1:18" x14ac:dyDescent="0.25">
      <c r="A13" s="45" t="s">
        <v>146</v>
      </c>
      <c r="B13" s="1" cm="1">
        <f t="array" ref="B13">SUM(N(_xlfn.VSTACK('Player-Force'!$F$3:$F$28,'Player-Force'!$G$3:$G$28,'Player-Force'!$J$3:$J$28,'Player-Force'!$K$3:$K$28)=A13))</f>
        <v>1</v>
      </c>
      <c r="C13" s="18" cm="1">
        <f t="array" ref="C13">SUM(_xlfn.BYROW(_xlfn.HSTACK(N(data_mod!$Y$2:$Y$63=A13),N(data_mod!$AA$2:$AA$63=A13)),_xlfn.LAMBDA(_xlpm.row,SUM(_xlpm.row))),_xlfn.BYROW(_xlfn.HSTACK(N(data_mod!$Z$2:$Z$63=A13),N(data_mod!$AB$2:$AB$63=A13)),_xlfn.LAMBDA(_xlpm.row,SUM(_xlpm.row))))</f>
        <v>5</v>
      </c>
      <c r="D13" s="44" cm="1">
        <f t="array" ref="D13">SUM((data_mod!$F$2:$F$63="a")*(_xlfn.BYROW(_xlfn.HSTACK(N(data_mod!$Y$2:$Y$63=A13),N(data_mod!$AA$2:$AA$63=A13)),_xlfn.LAMBDA(_xlpm.row,SUM(_xlpm.row)))),(data_mod!$F$2:$F$63="b")*(_xlfn.BYROW(_xlfn.HSTACK(N(data_mod!$Z$2:$Z$63=A13),N(data_mod!$AB$2:$AB$63=A13)),_xlfn.LAMBDA(_xlpm.row,SUM(_xlpm.row)))))/C13</f>
        <v>0.4</v>
      </c>
      <c r="E13" s="31" cm="1">
        <f t="array" ref="E13">SUM((data_mod!$F$2:$F$63="b")*(_xlfn.BYROW(_xlfn.HSTACK(N(data_mod!$Y$2:$Y$63=A13),N(data_mod!$AA$2:$AA$63=A13)),_xlfn.LAMBDA(_xlpm.row,SUM(_xlpm.row)))),(data_mod!$F$2:$F$63="a")*(_xlfn.BYROW(_xlfn.HSTACK(N(data_mod!$Z$2:$Z$63=A13),N(data_mod!$AB$2:$AB$63=A13)),_xlfn.LAMBDA(_xlpm.row,SUM(_xlpm.row)))))/C13</f>
        <v>0.2</v>
      </c>
      <c r="F13" s="32" cm="1">
        <f t="array" ref="F13">SUM((data_mod!$F$2:$F$63="none")*(_xlfn.BYROW(_xlfn.HSTACK(N(data_mod!$Y$2:$Y$63=A13),N(data_mod!$AA$2:$AA$63=A13)),_xlfn.LAMBDA(_xlpm.row,SUM(_xlpm.row)))),(data_mod!$F$2:$F$63="none")*(_xlfn.BYROW(_xlfn.HSTACK(N(data_mod!$Z$2:$Z$63=A13),N(data_mod!$AB$2:$AB$63=A13)),_xlfn.LAMBDA(_xlpm.row,SUM(_xlpm.row)))))/C13</f>
        <v>0.4</v>
      </c>
      <c r="G13" s="34" cm="1">
        <f t="array" ref="G13">SUM((data_mod!$L$2:$L$63)*(_xlfn.BYROW(_xlfn.HSTACK(N(data_mod!$Y$2:$Y$63=A13),N(data_mod!$AA$2:$AA$63=A13)),_xlfn.LAMBDA(_xlpm.row,SUM(_xlpm.row)))),(data_mod!$S$2:$S$63)*(_xlfn.BYROW(_xlfn.HSTACK(N(data_mod!$Z$2:$Z$63=A13),N(data_mod!$AB$2:$AB$63=A13)),_xlfn.LAMBDA(_xlpm.row,SUM(_xlpm.row)))))/C13</f>
        <v>4</v>
      </c>
      <c r="H13" s="28" cm="1">
        <f t="array" ref="H13">SUM((data_mod!$K$2:$K$63)*(_xlfn.BYROW(_xlfn.HSTACK(N(data_mod!$Y$2:$Y$63=A13),N(data_mod!$AA$2:$AA$63=A13)),_xlfn.LAMBDA(_xlpm.row,SUM(_xlpm.row)))),(data_mod!$R$2:$R$63)*(_xlfn.BYROW(_xlfn.HSTACK(N(data_mod!$Z$2:$Z$63=A13),N(data_mod!$AB$2:$AB$63=A13)),_xlfn.LAMBDA(_xlpm.row,SUM(_xlpm.row)))))/C13</f>
        <v>1.8</v>
      </c>
      <c r="I13" s="28" cm="1">
        <f t="array" ref="I13">SUM((data_mod!$R$2:$R$63)*(_xlfn.BYROW(_xlfn.HSTACK(N(data_mod!$Y$2:$Y$63=A13),N(data_mod!$AA$2:$AA$63=A13)),_xlfn.LAMBDA(_xlpm.row,SUM(_xlpm.row)))),(data_mod!$K$2:$K$63)*(_xlfn.BYROW(_xlfn.HSTACK(N(data_mod!$Z$2:$Z$63=A13),N(data_mod!$AB$2:$AB$63=A13)),_xlfn.LAMBDA(_xlpm.row,SUM(_xlpm.row)))))/C13</f>
        <v>1.6</v>
      </c>
      <c r="J13" s="35">
        <f t="shared" si="0"/>
        <v>0.88888888888888895</v>
      </c>
      <c r="K13" s="30" cm="1">
        <f t="array" ref="K13">SUM((data_mod!$J$2:$J$63="attack")*(_xlfn.BYROW(_xlfn.HSTACK(N(data_mod!$Y$2:$Y$63=A13),N(data_mod!$AA$2:$AA$63=A13)),_xlfn.LAMBDA(_xlpm.row,SUM(_xlpm.row)))),(data_mod!$Q$2:$Q$63="attack")*(_xlfn.BYROW(_xlfn.HSTACK(N(data_mod!$Z$2:$Z$63=A13),N(data_mod!$AB$2:$AB$63=A13)),_xlfn.LAMBDA(_xlpm.row,SUM(_xlpm.row)))))/C13</f>
        <v>0</v>
      </c>
      <c r="L13" s="31" cm="1">
        <f t="array" ref="L13">SUM((data_mod!$J$2:$J$63="maneuver")*(_xlfn.BYROW(_xlfn.HSTACK(N(data_mod!$Y$2:$Y$63=A13),N(data_mod!$AA$2:$AA$63=A13)),_xlfn.LAMBDA(_xlpm.row,SUM(_xlpm.row)))),(data_mod!$Q$2:$Q$63="maneuver")*(_xlfn.BYROW(_xlfn.HSTACK(N(data_mod!$Z$2:$Z$63=A13),N(data_mod!$AB$2:$AB$63=A13)),_xlfn.LAMBDA(_xlpm.row,SUM(_xlpm.row)))))/C13</f>
        <v>0</v>
      </c>
      <c r="M13" s="32" cm="1">
        <f t="array" ref="M13">SUM((data_mod!$J$2:$J$63="defend")*(_xlfn.BYROW(_xlfn.HSTACK(N(data_mod!$Y$2:$Y$63=A13),N(data_mod!$AA$2:$AA$63=A13)),_xlfn.LAMBDA(_xlpm.row,SUM(_xlpm.row)))),(data_mod!$Q$2:$Q$63="defend")*(_xlfn.BYROW(_xlfn.HSTACK(N(data_mod!$Z$2:$Z$63=A13),N(data_mod!$AB$2:$AB$63=A13)),_xlfn.LAMBDA(_xlpm.row,SUM(_xlpm.row)))))/C13</f>
        <v>1</v>
      </c>
      <c r="N13" s="38" t="str" cm="1">
        <f t="array" ref="N13">IF(K13=0,"-",IF(($D13=0),0,SUM(N(data_mod!$F$2:$F$63="a")*(data_mod!$J$2:$J$63="attack")*(_xlfn.BYROW(_xlfn.HSTACK(N(data_mod!$Y$2:$Y$63=$A13),N(data_mod!$AA$2:$AA$63=$A13)),_xlfn.LAMBDA(_xlpm.row,SUM(_xlpm.row)))),N(data_mod!$F$2:$F$63="b")*(data_mod!$Q$2:$Q$63="attack")*(_xlfn.BYROW(_xlfn.HSTACK(N(data_mod!$Z$2:$Z$63=$A13),N(data_mod!$AB$2:$AB$63=$A13)),_xlfn.LAMBDA(_xlpm.row,SUM(_xlpm.row)))))/($C13*$K13)))</f>
        <v>-</v>
      </c>
      <c r="O13" s="39" t="str" cm="1">
        <f t="array" ref="O13">IF(L13=0,"-",IF(($L13=0),0,SUM(N(data_mod!$F$2:$F$63="a")*(data_mod!$J$2:$J$63="maneuver")*(_xlfn.BYROW(_xlfn.HSTACK(N(data_mod!$Y$2:$Y$63=$A13),N(data_mod!$AA$2:$AA$63=$A13)),_xlfn.LAMBDA(_xlpm.row,SUM(_xlpm.row)))),N(data_mod!$F$2:$F$63="b")*(data_mod!$Q$2:$Q$63="maneuver")*(_xlfn.BYROW(_xlfn.HSTACK(N(data_mod!$Z$2:$Z$63=$A13),N(data_mod!$AB$2:$AB$63=$A13)),_xlfn.LAMBDA(_xlpm.row,SUM(_xlpm.row)))))/($C13*$L13)))</f>
        <v>-</v>
      </c>
      <c r="P13" s="40" cm="1">
        <f t="array" ref="P13">IF(M13=0,"-",IF(($D13=0),0,SUM(N(data_mod!$F$2:$F$63="a")*(data_mod!$J$2:$J$63="defend")*(_xlfn.BYROW(_xlfn.HSTACK(N(data_mod!$Y$2:$Y$63=$A13),N(data_mod!$AA$2:$AA$63=$A13)),_xlfn.LAMBDA(_xlpm.row,SUM(_xlpm.row)))),N(data_mod!$F$2:$F$63="b")*(data_mod!$Q$2:$Q$63="defend")*(_xlfn.BYROW(_xlfn.HSTACK(N(data_mod!$Z$2:$Z$63=$A13),N(data_mod!$AB$2:$AB$63=$A13)),_xlfn.LAMBDA(_xlpm.row,SUM(_xlpm.row)))))/($C13*$M13)))</f>
        <v>0.4</v>
      </c>
      <c r="Q13" s="38" cm="1">
        <f t="array" ref="Q13">IF(SUM((data_mod!$M$2:$M$63="attacker")*(_xlfn.BYROW(_xlfn.HSTACK(N(data_mod!$Y$2:$Y$63=$A13),N(data_mod!$AA$2:$AA$63=$A13)),_xlfn.LAMBDA(_xlpm.row,SUM(_xlpm.row)))),(data_mod!$T$2:$T$63="attacker")*(_xlfn.BYROW(_xlfn.HSTACK(N(data_mod!$Z$2:$Z$63=$A13),N(data_mod!$AB$2:$AB$63=$A13)),_xlfn.LAMBDA(_xlpm.row,SUM(_xlpm.row)))))=0,"-",IF(($D13=0),0,SUM(N(data_mod!$F$2:$F$63="a")*(data_mod!$M$2:$M$63="attacker")*(_xlfn.BYROW(_xlfn.HSTACK(N(data_mod!$Y$2:$Y$63=$A13),N(data_mod!$AA$2:$AA$63=$A13)),_xlfn.LAMBDA(_xlpm.row,SUM(_xlpm.row)))),N(data_mod!$F$2:$F$63="b")*(data_mod!$T$2:$T$63="attacker")*(_xlfn.BYROW(_xlfn.HSTACK(N(data_mod!$Z$2:$Z$63=$A13),N(data_mod!$AB$2:$AB$63=$A13)),_xlfn.LAMBDA(_xlpm.row,SUM(_xlpm.row)))))/SUM((data_mod!$M$2:$M$63="attacker")*(_xlfn.BYROW(_xlfn.HSTACK(N(data_mod!$Y$2:$Y$63=$A13),N(data_mod!$AA$2:$AA$63=$A13)),_xlfn.LAMBDA(_xlpm.row,SUM(_xlpm.row)))),(data_mod!$T$2:$T$63="attacker")*(_xlfn.BYROW(_xlfn.HSTACK(N(data_mod!$Z$2:$Z$63=$A13),N(data_mod!$AB$2:$AB$63=$A13)),_xlfn.LAMBDA(_xlpm.row,SUM(_xlpm.row)))))))</f>
        <v>0</v>
      </c>
      <c r="R13" s="40" cm="1">
        <f t="array" ref="R13">IF(SUM((data_mod!$M$2:$M$63="defender")*(_xlfn.BYROW(_xlfn.HSTACK(N(data_mod!$Y$2:$Y$63=$A13),N(data_mod!$AA$2:$AA$63=$A13)),_xlfn.LAMBDA(_xlpm.row,SUM(_xlpm.row)))),(data_mod!$T$2:$T$63="defender")*(_xlfn.BYROW(_xlfn.HSTACK(N(data_mod!$Z$2:$Z$63=$A13),N(data_mod!$AB$2:$AB$63=$A13)),_xlfn.LAMBDA(_xlpm.row,SUM(_xlpm.row)))))=0,"-",IF(($D13=0),0,SUM(N(data_mod!$F$2:$F$63="a")*(data_mod!$M$2:$M$63="defender")*(_xlfn.BYROW(_xlfn.HSTACK(N(data_mod!$Y$2:$Y$63=$A13),N(data_mod!$AA$2:$AA$63=$A13)),_xlfn.LAMBDA(_xlpm.row,SUM(_xlpm.row)))),N(data_mod!$F$2:$F$63="b")*(data_mod!$T$2:$T$63="defender")*(_xlfn.BYROW(_xlfn.HSTACK(N(data_mod!$Z$2:$Z$63=$A13),N(data_mod!$AB$2:$AB$63=$A13)),_xlfn.LAMBDA(_xlpm.row,SUM(_xlpm.row)))))/SUM((data_mod!$M$2:$M$63="defender")*(_xlfn.BYROW(_xlfn.HSTACK(N(data_mod!$Y$2:$Y$63=$A13),N(data_mod!$AA$2:$AA$63=$A13)),_xlfn.LAMBDA(_xlpm.row,SUM(_xlpm.row)))),(data_mod!$T$2:$T$63="defender")*(_xlfn.BYROW(_xlfn.HSTACK(N(data_mod!$Z$2:$Z$63=$A13),N(data_mod!$AB$2:$AB$63=$A13)),_xlfn.LAMBDA(_xlpm.row,SUM(_xlpm.row)))))))</f>
        <v>0.5</v>
      </c>
    </row>
    <row r="14" spans="1:18" x14ac:dyDescent="0.25">
      <c r="A14" s="45" t="s">
        <v>147</v>
      </c>
      <c r="B14" s="1" cm="1">
        <f t="array" ref="B14">SUM(N(_xlfn.VSTACK('Player-Force'!$F$3:$F$28,'Player-Force'!$G$3:$G$28,'Player-Force'!$J$3:$J$28,'Player-Force'!$K$3:$K$28)=A14))</f>
        <v>1</v>
      </c>
      <c r="C14" s="18" cm="1">
        <f t="array" ref="C14">SUM(_xlfn.BYROW(_xlfn.HSTACK(N(data_mod!$Y$2:$Y$63=A14),N(data_mod!$AA$2:$AA$63=A14)),_xlfn.LAMBDA(_xlpm.row,SUM(_xlpm.row))),_xlfn.BYROW(_xlfn.HSTACK(N(data_mod!$Z$2:$Z$63=A14),N(data_mod!$AB$2:$AB$63=A14)),_xlfn.LAMBDA(_xlpm.row,SUM(_xlpm.row))))</f>
        <v>4</v>
      </c>
      <c r="D14" s="44" cm="1">
        <f t="array" ref="D14">SUM((data_mod!$F$2:$F$63="a")*(_xlfn.BYROW(_xlfn.HSTACK(N(data_mod!$Y$2:$Y$63=A14),N(data_mod!$AA$2:$AA$63=A14)),_xlfn.LAMBDA(_xlpm.row,SUM(_xlpm.row)))),(data_mod!$F$2:$F$63="b")*(_xlfn.BYROW(_xlfn.HSTACK(N(data_mod!$Z$2:$Z$63=A14),N(data_mod!$AB$2:$AB$63=A14)),_xlfn.LAMBDA(_xlpm.row,SUM(_xlpm.row)))))/C14</f>
        <v>0.75</v>
      </c>
      <c r="E14" s="31" cm="1">
        <f t="array" ref="E14">SUM((data_mod!$F$2:$F$63="b")*(_xlfn.BYROW(_xlfn.HSTACK(N(data_mod!$Y$2:$Y$63=A14),N(data_mod!$AA$2:$AA$63=A14)),_xlfn.LAMBDA(_xlpm.row,SUM(_xlpm.row)))),(data_mod!$F$2:$F$63="a")*(_xlfn.BYROW(_xlfn.HSTACK(N(data_mod!$Z$2:$Z$63=A14),N(data_mod!$AB$2:$AB$63=A14)),_xlfn.LAMBDA(_xlpm.row,SUM(_xlpm.row)))))/C14</f>
        <v>0.25</v>
      </c>
      <c r="F14" s="32" cm="1">
        <f t="array" ref="F14">SUM((data_mod!$F$2:$F$63="none")*(_xlfn.BYROW(_xlfn.HSTACK(N(data_mod!$Y$2:$Y$63=A14),N(data_mod!$AA$2:$AA$63=A14)),_xlfn.LAMBDA(_xlpm.row,SUM(_xlpm.row)))),(data_mod!$F$2:$F$63="none")*(_xlfn.BYROW(_xlfn.HSTACK(N(data_mod!$Z$2:$Z$63=A14),N(data_mod!$AB$2:$AB$63=A14)),_xlfn.LAMBDA(_xlpm.row,SUM(_xlpm.row)))))/C14</f>
        <v>0</v>
      </c>
      <c r="G14" s="34" cm="1">
        <f t="array" ref="G14">SUM((data_mod!$L$2:$L$63)*(_xlfn.BYROW(_xlfn.HSTACK(N(data_mod!$Y$2:$Y$63=A14),N(data_mod!$AA$2:$AA$63=A14)),_xlfn.LAMBDA(_xlpm.row,SUM(_xlpm.row)))),(data_mod!$S$2:$S$63)*(_xlfn.BYROW(_xlfn.HSTACK(N(data_mod!$Z$2:$Z$63=A14),N(data_mod!$AB$2:$AB$63=A14)),_xlfn.LAMBDA(_xlpm.row,SUM(_xlpm.row)))))/C14</f>
        <v>6</v>
      </c>
      <c r="H14" s="28" cm="1">
        <f t="array" ref="H14">SUM((data_mod!$K$2:$K$63)*(_xlfn.BYROW(_xlfn.HSTACK(N(data_mod!$Y$2:$Y$63=A14),N(data_mod!$AA$2:$AA$63=A14)),_xlfn.LAMBDA(_xlpm.row,SUM(_xlpm.row)))),(data_mod!$R$2:$R$63)*(_xlfn.BYROW(_xlfn.HSTACK(N(data_mod!$Z$2:$Z$63=A14),N(data_mod!$AB$2:$AB$63=A14)),_xlfn.LAMBDA(_xlpm.row,SUM(_xlpm.row)))))/C14</f>
        <v>1.5</v>
      </c>
      <c r="I14" s="28" cm="1">
        <f t="array" ref="I14">SUM((data_mod!$R$2:$R$63)*(_xlfn.BYROW(_xlfn.HSTACK(N(data_mod!$Y$2:$Y$63=A14),N(data_mod!$AA$2:$AA$63=A14)),_xlfn.LAMBDA(_xlpm.row,SUM(_xlpm.row)))),(data_mod!$K$2:$K$63)*(_xlfn.BYROW(_xlfn.HSTACK(N(data_mod!$Z$2:$Z$63=A14),N(data_mod!$AB$2:$AB$63=A14)),_xlfn.LAMBDA(_xlpm.row,SUM(_xlpm.row)))))/C14</f>
        <v>1.25</v>
      </c>
      <c r="J14" s="35">
        <f t="shared" si="0"/>
        <v>0.83333333333333337</v>
      </c>
      <c r="K14" s="30" cm="1">
        <f t="array" ref="K14">SUM((data_mod!$J$2:$J$63="attack")*(_xlfn.BYROW(_xlfn.HSTACK(N(data_mod!$Y$2:$Y$63=A14),N(data_mod!$AA$2:$AA$63=A14)),_xlfn.LAMBDA(_xlpm.row,SUM(_xlpm.row)))),(data_mod!$Q$2:$Q$63="attack")*(_xlfn.BYROW(_xlfn.HSTACK(N(data_mod!$Z$2:$Z$63=A14),N(data_mod!$AB$2:$AB$63=A14)),_xlfn.LAMBDA(_xlpm.row,SUM(_xlpm.row)))))/C14</f>
        <v>0.75</v>
      </c>
      <c r="L14" s="31" cm="1">
        <f t="array" ref="L14">SUM((data_mod!$J$2:$J$63="maneuver")*(_xlfn.BYROW(_xlfn.HSTACK(N(data_mod!$Y$2:$Y$63=A14),N(data_mod!$AA$2:$AA$63=A14)),_xlfn.LAMBDA(_xlpm.row,SUM(_xlpm.row)))),(data_mod!$Q$2:$Q$63="maneuver")*(_xlfn.BYROW(_xlfn.HSTACK(N(data_mod!$Z$2:$Z$63=A14),N(data_mod!$AB$2:$AB$63=A14)),_xlfn.LAMBDA(_xlpm.row,SUM(_xlpm.row)))))/C14</f>
        <v>0.25</v>
      </c>
      <c r="M14" s="32" cm="1">
        <f t="array" ref="M14">SUM((data_mod!$J$2:$J$63="defend")*(_xlfn.BYROW(_xlfn.HSTACK(N(data_mod!$Y$2:$Y$63=A14),N(data_mod!$AA$2:$AA$63=A14)),_xlfn.LAMBDA(_xlpm.row,SUM(_xlpm.row)))),(data_mod!$Q$2:$Q$63="defend")*(_xlfn.BYROW(_xlfn.HSTACK(N(data_mod!$Z$2:$Z$63=A14),N(data_mod!$AB$2:$AB$63=A14)),_xlfn.LAMBDA(_xlpm.row,SUM(_xlpm.row)))))/C14</f>
        <v>0</v>
      </c>
      <c r="N14" s="38" cm="1">
        <f t="array" ref="N14">IF(K14=0,"-",IF(($D14=0),0,SUM(N(data_mod!$F$2:$F$63="a")*(data_mod!$J$2:$J$63="attack")*(_xlfn.BYROW(_xlfn.HSTACK(N(data_mod!$Y$2:$Y$63=$A14),N(data_mod!$AA$2:$AA$63=$A14)),_xlfn.LAMBDA(_xlpm.row,SUM(_xlpm.row)))),N(data_mod!$F$2:$F$63="b")*(data_mod!$Q$2:$Q$63="attack")*(_xlfn.BYROW(_xlfn.HSTACK(N(data_mod!$Z$2:$Z$63=$A14),N(data_mod!$AB$2:$AB$63=$A14)),_xlfn.LAMBDA(_xlpm.row,SUM(_xlpm.row)))))/($C14*$K14)))</f>
        <v>0.66666666666666663</v>
      </c>
      <c r="O14" s="39" cm="1">
        <f t="array" ref="O14">IF(L14=0,"-",IF(($L14=0),0,SUM(N(data_mod!$F$2:$F$63="a")*(data_mod!$J$2:$J$63="maneuver")*(_xlfn.BYROW(_xlfn.HSTACK(N(data_mod!$Y$2:$Y$63=$A14),N(data_mod!$AA$2:$AA$63=$A14)),_xlfn.LAMBDA(_xlpm.row,SUM(_xlpm.row)))),N(data_mod!$F$2:$F$63="b")*(data_mod!$Q$2:$Q$63="maneuver")*(_xlfn.BYROW(_xlfn.HSTACK(N(data_mod!$Z$2:$Z$63=$A14),N(data_mod!$AB$2:$AB$63=$A14)),_xlfn.LAMBDA(_xlpm.row,SUM(_xlpm.row)))))/($C14*$L14)))</f>
        <v>1</v>
      </c>
      <c r="P14" s="40" t="str" cm="1">
        <f t="array" ref="P14">IF(M14=0,"-",IF(($D14=0),0,SUM(N(data_mod!$F$2:$F$63="a")*(data_mod!$J$2:$J$63="defend")*(_xlfn.BYROW(_xlfn.HSTACK(N(data_mod!$Y$2:$Y$63=$A14),N(data_mod!$AA$2:$AA$63=$A14)),_xlfn.LAMBDA(_xlpm.row,SUM(_xlpm.row)))),N(data_mod!$F$2:$F$63="b")*(data_mod!$Q$2:$Q$63="defend")*(_xlfn.BYROW(_xlfn.HSTACK(N(data_mod!$Z$2:$Z$63=$A14),N(data_mod!$AB$2:$AB$63=$A14)),_xlfn.LAMBDA(_xlpm.row,SUM(_xlpm.row)))))/($C14*$M14)))</f>
        <v>-</v>
      </c>
      <c r="Q14" s="38" cm="1">
        <f t="array" ref="Q14">IF(SUM((data_mod!$M$2:$M$63="attacker")*(_xlfn.BYROW(_xlfn.HSTACK(N(data_mod!$Y$2:$Y$63=$A14),N(data_mod!$AA$2:$AA$63=$A14)),_xlfn.LAMBDA(_xlpm.row,SUM(_xlpm.row)))),(data_mod!$T$2:$T$63="attacker")*(_xlfn.BYROW(_xlfn.HSTACK(N(data_mod!$Z$2:$Z$63=$A14),N(data_mod!$AB$2:$AB$63=$A14)),_xlfn.LAMBDA(_xlpm.row,SUM(_xlpm.row)))))=0,"-",IF(($D14=0),0,SUM(N(data_mod!$F$2:$F$63="a")*(data_mod!$M$2:$M$63="attacker")*(_xlfn.BYROW(_xlfn.HSTACK(N(data_mod!$Y$2:$Y$63=$A14),N(data_mod!$AA$2:$AA$63=$A14)),_xlfn.LAMBDA(_xlpm.row,SUM(_xlpm.row)))),N(data_mod!$F$2:$F$63="b")*(data_mod!$T$2:$T$63="attacker")*(_xlfn.BYROW(_xlfn.HSTACK(N(data_mod!$Z$2:$Z$63=$A14),N(data_mod!$AB$2:$AB$63=$A14)),_xlfn.LAMBDA(_xlpm.row,SUM(_xlpm.row)))))/SUM((data_mod!$M$2:$M$63="attacker")*(_xlfn.BYROW(_xlfn.HSTACK(N(data_mod!$Y$2:$Y$63=$A14),N(data_mod!$AA$2:$AA$63=$A14)),_xlfn.LAMBDA(_xlpm.row,SUM(_xlpm.row)))),(data_mod!$T$2:$T$63="attacker")*(_xlfn.BYROW(_xlfn.HSTACK(N(data_mod!$Z$2:$Z$63=$A14),N(data_mod!$AB$2:$AB$63=$A14)),_xlfn.LAMBDA(_xlpm.row,SUM(_xlpm.row)))))))</f>
        <v>0.75</v>
      </c>
      <c r="R14" s="40" t="str" cm="1">
        <f t="array" ref="R14">IF(SUM((data_mod!$M$2:$M$63="defender")*(_xlfn.BYROW(_xlfn.HSTACK(N(data_mod!$Y$2:$Y$63=$A14),N(data_mod!$AA$2:$AA$63=$A14)),_xlfn.LAMBDA(_xlpm.row,SUM(_xlpm.row)))),(data_mod!$T$2:$T$63="defender")*(_xlfn.BYROW(_xlfn.HSTACK(N(data_mod!$Z$2:$Z$63=$A14),N(data_mod!$AB$2:$AB$63=$A14)),_xlfn.LAMBDA(_xlpm.row,SUM(_xlpm.row)))))=0,"-",IF(($D14=0),0,SUM(N(data_mod!$F$2:$F$63="a")*(data_mod!$M$2:$M$63="defender")*(_xlfn.BYROW(_xlfn.HSTACK(N(data_mod!$Y$2:$Y$63=$A14),N(data_mod!$AA$2:$AA$63=$A14)),_xlfn.LAMBDA(_xlpm.row,SUM(_xlpm.row)))),N(data_mod!$F$2:$F$63="b")*(data_mod!$T$2:$T$63="defender")*(_xlfn.BYROW(_xlfn.HSTACK(N(data_mod!$Z$2:$Z$63=$A14),N(data_mod!$AB$2:$AB$63=$A14)),_xlfn.LAMBDA(_xlpm.row,SUM(_xlpm.row)))))/SUM((data_mod!$M$2:$M$63="defender")*(_xlfn.BYROW(_xlfn.HSTACK(N(data_mod!$Y$2:$Y$63=$A14),N(data_mod!$AA$2:$AA$63=$A14)),_xlfn.LAMBDA(_xlpm.row,SUM(_xlpm.row)))),(data_mod!$T$2:$T$63="defender")*(_xlfn.BYROW(_xlfn.HSTACK(N(data_mod!$Z$2:$Z$63=$A14),N(data_mod!$AB$2:$AB$63=$A14)),_xlfn.LAMBDA(_xlpm.row,SUM(_xlpm.row)))))))</f>
        <v>-</v>
      </c>
    </row>
    <row r="15" spans="1:18" x14ac:dyDescent="0.25">
      <c r="A15" s="45" t="s">
        <v>148</v>
      </c>
      <c r="B15" s="1" cm="1">
        <f t="array" ref="B15">SUM(N(_xlfn.VSTACK('Player-Force'!$F$3:$F$28,'Player-Force'!$G$3:$G$28,'Player-Force'!$J$3:$J$28,'Player-Force'!$K$3:$K$28)=A15))</f>
        <v>1</v>
      </c>
      <c r="C15" s="18" cm="1">
        <f t="array" ref="C15">SUM(_xlfn.BYROW(_xlfn.HSTACK(N(data_mod!$Y$2:$Y$63=A15),N(data_mod!$AA$2:$AA$63=A15)),_xlfn.LAMBDA(_xlpm.row,SUM(_xlpm.row))),_xlfn.BYROW(_xlfn.HSTACK(N(data_mod!$Z$2:$Z$63=A15),N(data_mod!$AB$2:$AB$63=A15)),_xlfn.LAMBDA(_xlpm.row,SUM(_xlpm.row))))</f>
        <v>5</v>
      </c>
      <c r="D15" s="44" cm="1">
        <f t="array" ref="D15">SUM((data_mod!$F$2:$F$63="a")*(_xlfn.BYROW(_xlfn.HSTACK(N(data_mod!$Y$2:$Y$63=A15),N(data_mod!$AA$2:$AA$63=A15)),_xlfn.LAMBDA(_xlpm.row,SUM(_xlpm.row)))),(data_mod!$F$2:$F$63="b")*(_xlfn.BYROW(_xlfn.HSTACK(N(data_mod!$Z$2:$Z$63=A15),N(data_mod!$AB$2:$AB$63=A15)),_xlfn.LAMBDA(_xlpm.row,SUM(_xlpm.row)))))/C15</f>
        <v>0.4</v>
      </c>
      <c r="E15" s="31" cm="1">
        <f t="array" ref="E15">SUM((data_mod!$F$2:$F$63="b")*(_xlfn.BYROW(_xlfn.HSTACK(N(data_mod!$Y$2:$Y$63=A15),N(data_mod!$AA$2:$AA$63=A15)),_xlfn.LAMBDA(_xlpm.row,SUM(_xlpm.row)))),(data_mod!$F$2:$F$63="a")*(_xlfn.BYROW(_xlfn.HSTACK(N(data_mod!$Z$2:$Z$63=A15),N(data_mod!$AB$2:$AB$63=A15)),_xlfn.LAMBDA(_xlpm.row,SUM(_xlpm.row)))))/C15</f>
        <v>0.4</v>
      </c>
      <c r="F15" s="32" cm="1">
        <f t="array" ref="F15">SUM((data_mod!$F$2:$F$63="none")*(_xlfn.BYROW(_xlfn.HSTACK(N(data_mod!$Y$2:$Y$63=A15),N(data_mod!$AA$2:$AA$63=A15)),_xlfn.LAMBDA(_xlpm.row,SUM(_xlpm.row)))),(data_mod!$F$2:$F$63="none")*(_xlfn.BYROW(_xlfn.HSTACK(N(data_mod!$Z$2:$Z$63=A15),N(data_mod!$AB$2:$AB$63=A15)),_xlfn.LAMBDA(_xlpm.row,SUM(_xlpm.row)))))/C15</f>
        <v>0.2</v>
      </c>
      <c r="G15" s="34" cm="1">
        <f t="array" ref="G15">SUM((data_mod!$L$2:$L$63)*(_xlfn.BYROW(_xlfn.HSTACK(N(data_mod!$Y$2:$Y$63=A15),N(data_mod!$AA$2:$AA$63=A15)),_xlfn.LAMBDA(_xlpm.row,SUM(_xlpm.row)))),(data_mod!$S$2:$S$63)*(_xlfn.BYROW(_xlfn.HSTACK(N(data_mod!$Z$2:$Z$63=A15),N(data_mod!$AB$2:$AB$63=A15)),_xlfn.LAMBDA(_xlpm.row,SUM(_xlpm.row)))))/C15</f>
        <v>4</v>
      </c>
      <c r="H15" s="28" cm="1">
        <f t="array" ref="H15">SUM((data_mod!$K$2:$K$63)*(_xlfn.BYROW(_xlfn.HSTACK(N(data_mod!$Y$2:$Y$63=A15),N(data_mod!$AA$2:$AA$63=A15)),_xlfn.LAMBDA(_xlpm.row,SUM(_xlpm.row)))),(data_mod!$R$2:$R$63)*(_xlfn.BYROW(_xlfn.HSTACK(N(data_mod!$Z$2:$Z$63=A15),N(data_mod!$AB$2:$AB$63=A15)),_xlfn.LAMBDA(_xlpm.row,SUM(_xlpm.row)))))/C15</f>
        <v>3.2</v>
      </c>
      <c r="I15" s="28" cm="1">
        <f t="array" ref="I15">SUM((data_mod!$R$2:$R$63)*(_xlfn.BYROW(_xlfn.HSTACK(N(data_mod!$Y$2:$Y$63=A15),N(data_mod!$AA$2:$AA$63=A15)),_xlfn.LAMBDA(_xlpm.row,SUM(_xlpm.row)))),(data_mod!$K$2:$K$63)*(_xlfn.BYROW(_xlfn.HSTACK(N(data_mod!$Z$2:$Z$63=A15),N(data_mod!$AB$2:$AB$63=A15)),_xlfn.LAMBDA(_xlpm.row,SUM(_xlpm.row)))))/C15</f>
        <v>3</v>
      </c>
      <c r="J15" s="35">
        <f t="shared" si="0"/>
        <v>0.9375</v>
      </c>
      <c r="K15" s="30" cm="1">
        <f t="array" ref="K15">SUM((data_mod!$J$2:$J$63="attack")*(_xlfn.BYROW(_xlfn.HSTACK(N(data_mod!$Y$2:$Y$63=A15),N(data_mod!$AA$2:$AA$63=A15)),_xlfn.LAMBDA(_xlpm.row,SUM(_xlpm.row)))),(data_mod!$Q$2:$Q$63="attack")*(_xlfn.BYROW(_xlfn.HSTACK(N(data_mod!$Z$2:$Z$63=A15),N(data_mod!$AB$2:$AB$63=A15)),_xlfn.LAMBDA(_xlpm.row,SUM(_xlpm.row)))))/C15</f>
        <v>0.2</v>
      </c>
      <c r="L15" s="31" cm="1">
        <f t="array" ref="L15">SUM((data_mod!$J$2:$J$63="maneuver")*(_xlfn.BYROW(_xlfn.HSTACK(N(data_mod!$Y$2:$Y$63=A15),N(data_mod!$AA$2:$AA$63=A15)),_xlfn.LAMBDA(_xlpm.row,SUM(_xlpm.row)))),(data_mod!$Q$2:$Q$63="maneuver")*(_xlfn.BYROW(_xlfn.HSTACK(N(data_mod!$Z$2:$Z$63=A15),N(data_mod!$AB$2:$AB$63=A15)),_xlfn.LAMBDA(_xlpm.row,SUM(_xlpm.row)))))/C15</f>
        <v>0.6</v>
      </c>
      <c r="M15" s="32" cm="1">
        <f t="array" ref="M15">SUM((data_mod!$J$2:$J$63="defend")*(_xlfn.BYROW(_xlfn.HSTACK(N(data_mod!$Y$2:$Y$63=A15),N(data_mod!$AA$2:$AA$63=A15)),_xlfn.LAMBDA(_xlpm.row,SUM(_xlpm.row)))),(data_mod!$Q$2:$Q$63="defend")*(_xlfn.BYROW(_xlfn.HSTACK(N(data_mod!$Z$2:$Z$63=A15),N(data_mod!$AB$2:$AB$63=A15)),_xlfn.LAMBDA(_xlpm.row,SUM(_xlpm.row)))))/C15</f>
        <v>0.2</v>
      </c>
      <c r="N15" s="38" cm="1">
        <f t="array" ref="N15">IF(K15=0,"-",IF(($D15=0),0,SUM(N(data_mod!$F$2:$F$63="a")*(data_mod!$J$2:$J$63="attack")*(_xlfn.BYROW(_xlfn.HSTACK(N(data_mod!$Y$2:$Y$63=$A15),N(data_mod!$AA$2:$AA$63=$A15)),_xlfn.LAMBDA(_xlpm.row,SUM(_xlpm.row)))),N(data_mod!$F$2:$F$63="b")*(data_mod!$Q$2:$Q$63="attack")*(_xlfn.BYROW(_xlfn.HSTACK(N(data_mod!$Z$2:$Z$63=$A15),N(data_mod!$AB$2:$AB$63=$A15)),_xlfn.LAMBDA(_xlpm.row,SUM(_xlpm.row)))))/($C15*$K15)))</f>
        <v>0</v>
      </c>
      <c r="O15" s="39" cm="1">
        <f t="array" ref="O15">IF(L15=0,"-",IF(($L15=0),0,SUM(N(data_mod!$F$2:$F$63="a")*(data_mod!$J$2:$J$63="maneuver")*(_xlfn.BYROW(_xlfn.HSTACK(N(data_mod!$Y$2:$Y$63=$A15),N(data_mod!$AA$2:$AA$63=$A15)),_xlfn.LAMBDA(_xlpm.row,SUM(_xlpm.row)))),N(data_mod!$F$2:$F$63="b")*(data_mod!$Q$2:$Q$63="maneuver")*(_xlfn.BYROW(_xlfn.HSTACK(N(data_mod!$Z$2:$Z$63=$A15),N(data_mod!$AB$2:$AB$63=$A15)),_xlfn.LAMBDA(_xlpm.row,SUM(_xlpm.row)))))/($C15*$L15)))</f>
        <v>0.66666666666666663</v>
      </c>
      <c r="P15" s="40" cm="1">
        <f t="array" ref="P15">IF(M15=0,"-",IF(($D15=0),0,SUM(N(data_mod!$F$2:$F$63="a")*(data_mod!$J$2:$J$63="defend")*(_xlfn.BYROW(_xlfn.HSTACK(N(data_mod!$Y$2:$Y$63=$A15),N(data_mod!$AA$2:$AA$63=$A15)),_xlfn.LAMBDA(_xlpm.row,SUM(_xlpm.row)))),N(data_mod!$F$2:$F$63="b")*(data_mod!$Q$2:$Q$63="defend")*(_xlfn.BYROW(_xlfn.HSTACK(N(data_mod!$Z$2:$Z$63=$A15),N(data_mod!$AB$2:$AB$63=$A15)),_xlfn.LAMBDA(_xlpm.row,SUM(_xlpm.row)))))/($C15*$M15)))</f>
        <v>0</v>
      </c>
      <c r="Q15" s="38" cm="1">
        <f t="array" ref="Q15">IF(SUM((data_mod!$M$2:$M$63="attacker")*(_xlfn.BYROW(_xlfn.HSTACK(N(data_mod!$Y$2:$Y$63=$A15),N(data_mod!$AA$2:$AA$63=$A15)),_xlfn.LAMBDA(_xlpm.row,SUM(_xlpm.row)))),(data_mod!$T$2:$T$63="attacker")*(_xlfn.BYROW(_xlfn.HSTACK(N(data_mod!$Z$2:$Z$63=$A15),N(data_mod!$AB$2:$AB$63=$A15)),_xlfn.LAMBDA(_xlpm.row,SUM(_xlpm.row)))))=0,"-",IF(($D15=0),0,SUM(N(data_mod!$F$2:$F$63="a")*(data_mod!$M$2:$M$63="attacker")*(_xlfn.BYROW(_xlfn.HSTACK(N(data_mod!$Y$2:$Y$63=$A15),N(data_mod!$AA$2:$AA$63=$A15)),_xlfn.LAMBDA(_xlpm.row,SUM(_xlpm.row)))),N(data_mod!$F$2:$F$63="b")*(data_mod!$T$2:$T$63="attacker")*(_xlfn.BYROW(_xlfn.HSTACK(N(data_mod!$Z$2:$Z$63=$A15),N(data_mod!$AB$2:$AB$63=$A15)),_xlfn.LAMBDA(_xlpm.row,SUM(_xlpm.row)))))/SUM((data_mod!$M$2:$M$63="attacker")*(_xlfn.BYROW(_xlfn.HSTACK(N(data_mod!$Y$2:$Y$63=$A15),N(data_mod!$AA$2:$AA$63=$A15)),_xlfn.LAMBDA(_xlpm.row,SUM(_xlpm.row)))),(data_mod!$T$2:$T$63="attacker")*(_xlfn.BYROW(_xlfn.HSTACK(N(data_mod!$Z$2:$Z$63=$A15),N(data_mod!$AB$2:$AB$63=$A15)),_xlfn.LAMBDA(_xlpm.row,SUM(_xlpm.row)))))))</f>
        <v>0.5</v>
      </c>
      <c r="R15" s="40" cm="1">
        <f t="array" ref="R15">IF(SUM((data_mod!$M$2:$M$63="defender")*(_xlfn.BYROW(_xlfn.HSTACK(N(data_mod!$Y$2:$Y$63=$A15),N(data_mod!$AA$2:$AA$63=$A15)),_xlfn.LAMBDA(_xlpm.row,SUM(_xlpm.row)))),(data_mod!$T$2:$T$63="defender")*(_xlfn.BYROW(_xlfn.HSTACK(N(data_mod!$Z$2:$Z$63=$A15),N(data_mod!$AB$2:$AB$63=$A15)),_xlfn.LAMBDA(_xlpm.row,SUM(_xlpm.row)))))=0,"-",IF(($D15=0),0,SUM(N(data_mod!$F$2:$F$63="a")*(data_mod!$M$2:$M$63="defender")*(_xlfn.BYROW(_xlfn.HSTACK(N(data_mod!$Y$2:$Y$63=$A15),N(data_mod!$AA$2:$AA$63=$A15)),_xlfn.LAMBDA(_xlpm.row,SUM(_xlpm.row)))),N(data_mod!$F$2:$F$63="b")*(data_mod!$T$2:$T$63="defender")*(_xlfn.BYROW(_xlfn.HSTACK(N(data_mod!$Z$2:$Z$63=$A15),N(data_mod!$AB$2:$AB$63=$A15)),_xlfn.LAMBDA(_xlpm.row,SUM(_xlpm.row)))))/SUM((data_mod!$M$2:$M$63="defender")*(_xlfn.BYROW(_xlfn.HSTACK(N(data_mod!$Y$2:$Y$63=$A15),N(data_mod!$AA$2:$AA$63=$A15)),_xlfn.LAMBDA(_xlpm.row,SUM(_xlpm.row)))),(data_mod!$T$2:$T$63="defender")*(_xlfn.BYROW(_xlfn.HSTACK(N(data_mod!$Z$2:$Z$63=$A15),N(data_mod!$AB$2:$AB$63=$A15)),_xlfn.LAMBDA(_xlpm.row,SUM(_xlpm.row)))))))</f>
        <v>0.33333333333333331</v>
      </c>
    </row>
    <row r="16" spans="1:18" x14ac:dyDescent="0.25">
      <c r="A16" s="45" t="s">
        <v>149</v>
      </c>
      <c r="B16" s="1" cm="1">
        <f t="array" ref="B16">SUM(N(_xlfn.VSTACK('Player-Force'!$F$3:$F$28,'Player-Force'!$G$3:$G$28,'Player-Force'!$J$3:$J$28,'Player-Force'!$K$3:$K$28)=A16))</f>
        <v>1</v>
      </c>
      <c r="C16" s="18" cm="1">
        <f t="array" ref="C16">SUM(_xlfn.BYROW(_xlfn.HSTACK(N(data_mod!$Y$2:$Y$63=A16),N(data_mod!$AA$2:$AA$63=A16)),_xlfn.LAMBDA(_xlpm.row,SUM(_xlpm.row))),_xlfn.BYROW(_xlfn.HSTACK(N(data_mod!$Z$2:$Z$63=A16),N(data_mod!$AB$2:$AB$63=A16)),_xlfn.LAMBDA(_xlpm.row,SUM(_xlpm.row))))</f>
        <v>4</v>
      </c>
      <c r="D16" s="44" cm="1">
        <f t="array" ref="D16">SUM((data_mod!$F$2:$F$63="a")*(_xlfn.BYROW(_xlfn.HSTACK(N(data_mod!$Y$2:$Y$63=A16),N(data_mod!$AA$2:$AA$63=A16)),_xlfn.LAMBDA(_xlpm.row,SUM(_xlpm.row)))),(data_mod!$F$2:$F$63="b")*(_xlfn.BYROW(_xlfn.HSTACK(N(data_mod!$Z$2:$Z$63=A16),N(data_mod!$AB$2:$AB$63=A16)),_xlfn.LAMBDA(_xlpm.row,SUM(_xlpm.row)))))/C16</f>
        <v>0.25</v>
      </c>
      <c r="E16" s="31" cm="1">
        <f t="array" ref="E16">SUM((data_mod!$F$2:$F$63="b")*(_xlfn.BYROW(_xlfn.HSTACK(N(data_mod!$Y$2:$Y$63=A16),N(data_mod!$AA$2:$AA$63=A16)),_xlfn.LAMBDA(_xlpm.row,SUM(_xlpm.row)))),(data_mod!$F$2:$F$63="a")*(_xlfn.BYROW(_xlfn.HSTACK(N(data_mod!$Z$2:$Z$63=A16),N(data_mod!$AB$2:$AB$63=A16)),_xlfn.LAMBDA(_xlpm.row,SUM(_xlpm.row)))))/C16</f>
        <v>0.25</v>
      </c>
      <c r="F16" s="32" cm="1">
        <f t="array" ref="F16">SUM((data_mod!$F$2:$F$63="none")*(_xlfn.BYROW(_xlfn.HSTACK(N(data_mod!$Y$2:$Y$63=A16),N(data_mod!$AA$2:$AA$63=A16)),_xlfn.LAMBDA(_xlpm.row,SUM(_xlpm.row)))),(data_mod!$F$2:$F$63="none")*(_xlfn.BYROW(_xlfn.HSTACK(N(data_mod!$Z$2:$Z$63=A16),N(data_mod!$AB$2:$AB$63=A16)),_xlfn.LAMBDA(_xlpm.row,SUM(_xlpm.row)))))/C16</f>
        <v>0.5</v>
      </c>
      <c r="G16" s="34" cm="1">
        <f t="array" ref="G16">SUM((data_mod!$L$2:$L$63)*(_xlfn.BYROW(_xlfn.HSTACK(N(data_mod!$Y$2:$Y$63=A16),N(data_mod!$AA$2:$AA$63=A16)),_xlfn.LAMBDA(_xlpm.row,SUM(_xlpm.row)))),(data_mod!$S$2:$S$63)*(_xlfn.BYROW(_xlfn.HSTACK(N(data_mod!$Z$2:$Z$63=A16),N(data_mod!$AB$2:$AB$63=A16)),_xlfn.LAMBDA(_xlpm.row,SUM(_xlpm.row)))))/C16</f>
        <v>3.75</v>
      </c>
      <c r="H16" s="28" cm="1">
        <f t="array" ref="H16">SUM((data_mod!$K$2:$K$63)*(_xlfn.BYROW(_xlfn.HSTACK(N(data_mod!$Y$2:$Y$63=A16),N(data_mod!$AA$2:$AA$63=A16)),_xlfn.LAMBDA(_xlpm.row,SUM(_xlpm.row)))),(data_mod!$R$2:$R$63)*(_xlfn.BYROW(_xlfn.HSTACK(N(data_mod!$Z$2:$Z$63=A16),N(data_mod!$AB$2:$AB$63=A16)),_xlfn.LAMBDA(_xlpm.row,SUM(_xlpm.row)))))/C16</f>
        <v>2.5</v>
      </c>
      <c r="I16" s="28" cm="1">
        <f t="array" ref="I16">SUM((data_mod!$R$2:$R$63)*(_xlfn.BYROW(_xlfn.HSTACK(N(data_mod!$Y$2:$Y$63=A16),N(data_mod!$AA$2:$AA$63=A16)),_xlfn.LAMBDA(_xlpm.row,SUM(_xlpm.row)))),(data_mod!$K$2:$K$63)*(_xlfn.BYROW(_xlfn.HSTACK(N(data_mod!$Z$2:$Z$63=A16),N(data_mod!$AB$2:$AB$63=A16)),_xlfn.LAMBDA(_xlpm.row,SUM(_xlpm.row)))))/C16</f>
        <v>3.75</v>
      </c>
      <c r="J16" s="35">
        <f t="shared" si="0"/>
        <v>1.5</v>
      </c>
      <c r="K16" s="30" cm="1">
        <f t="array" ref="K16">SUM((data_mod!$J$2:$J$63="attack")*(_xlfn.BYROW(_xlfn.HSTACK(N(data_mod!$Y$2:$Y$63=A16),N(data_mod!$AA$2:$AA$63=A16)),_xlfn.LAMBDA(_xlpm.row,SUM(_xlpm.row)))),(data_mod!$Q$2:$Q$63="attack")*(_xlfn.BYROW(_xlfn.HSTACK(N(data_mod!$Z$2:$Z$63=A16),N(data_mod!$AB$2:$AB$63=A16)),_xlfn.LAMBDA(_xlpm.row,SUM(_xlpm.row)))))/C16</f>
        <v>0.5</v>
      </c>
      <c r="L16" s="31" cm="1">
        <f t="array" ref="L16">SUM((data_mod!$J$2:$J$63="maneuver")*(_xlfn.BYROW(_xlfn.HSTACK(N(data_mod!$Y$2:$Y$63=A16),N(data_mod!$AA$2:$AA$63=A16)),_xlfn.LAMBDA(_xlpm.row,SUM(_xlpm.row)))),(data_mod!$Q$2:$Q$63="maneuver")*(_xlfn.BYROW(_xlfn.HSTACK(N(data_mod!$Z$2:$Z$63=A16),N(data_mod!$AB$2:$AB$63=A16)),_xlfn.LAMBDA(_xlpm.row,SUM(_xlpm.row)))))/C16</f>
        <v>0.25</v>
      </c>
      <c r="M16" s="32" cm="1">
        <f t="array" ref="M16">SUM((data_mod!$J$2:$J$63="defend")*(_xlfn.BYROW(_xlfn.HSTACK(N(data_mod!$Y$2:$Y$63=A16),N(data_mod!$AA$2:$AA$63=A16)),_xlfn.LAMBDA(_xlpm.row,SUM(_xlpm.row)))),(data_mod!$Q$2:$Q$63="defend")*(_xlfn.BYROW(_xlfn.HSTACK(N(data_mod!$Z$2:$Z$63=A16),N(data_mod!$AB$2:$AB$63=A16)),_xlfn.LAMBDA(_xlpm.row,SUM(_xlpm.row)))))/C16</f>
        <v>0.25</v>
      </c>
      <c r="N16" s="38" cm="1">
        <f t="array" ref="N16">IF(K16=0,"-",IF(($D16=0),0,SUM(N(data_mod!$F$2:$F$63="a")*(data_mod!$J$2:$J$63="attack")*(_xlfn.BYROW(_xlfn.HSTACK(N(data_mod!$Y$2:$Y$63=$A16),N(data_mod!$AA$2:$AA$63=$A16)),_xlfn.LAMBDA(_xlpm.row,SUM(_xlpm.row)))),N(data_mod!$F$2:$F$63="b")*(data_mod!$Q$2:$Q$63="attack")*(_xlfn.BYROW(_xlfn.HSTACK(N(data_mod!$Z$2:$Z$63=$A16),N(data_mod!$AB$2:$AB$63=$A16)),_xlfn.LAMBDA(_xlpm.row,SUM(_xlpm.row)))))/($C16*$K16)))</f>
        <v>0</v>
      </c>
      <c r="O16" s="39" cm="1">
        <f t="array" ref="O16">IF(L16=0,"-",IF(($L16=0),0,SUM(N(data_mod!$F$2:$F$63="a")*(data_mod!$J$2:$J$63="maneuver")*(_xlfn.BYROW(_xlfn.HSTACK(N(data_mod!$Y$2:$Y$63=$A16),N(data_mod!$AA$2:$AA$63=$A16)),_xlfn.LAMBDA(_xlpm.row,SUM(_xlpm.row)))),N(data_mod!$F$2:$F$63="b")*(data_mod!$Q$2:$Q$63="maneuver")*(_xlfn.BYROW(_xlfn.HSTACK(N(data_mod!$Z$2:$Z$63=$A16),N(data_mod!$AB$2:$AB$63=$A16)),_xlfn.LAMBDA(_xlpm.row,SUM(_xlpm.row)))))/($C16*$L16)))</f>
        <v>1</v>
      </c>
      <c r="P16" s="40" cm="1">
        <f t="array" ref="P16">IF(M16=0,"-",IF(($D16=0),0,SUM(N(data_mod!$F$2:$F$63="a")*(data_mod!$J$2:$J$63="defend")*(_xlfn.BYROW(_xlfn.HSTACK(N(data_mod!$Y$2:$Y$63=$A16),N(data_mod!$AA$2:$AA$63=$A16)),_xlfn.LAMBDA(_xlpm.row,SUM(_xlpm.row)))),N(data_mod!$F$2:$F$63="b")*(data_mod!$Q$2:$Q$63="defend")*(_xlfn.BYROW(_xlfn.HSTACK(N(data_mod!$Z$2:$Z$63=$A16),N(data_mod!$AB$2:$AB$63=$A16)),_xlfn.LAMBDA(_xlpm.row,SUM(_xlpm.row)))))/($C16*$M16)))</f>
        <v>0</v>
      </c>
      <c r="Q16" s="38" cm="1">
        <f t="array" ref="Q16">IF(SUM((data_mod!$M$2:$M$63="attacker")*(_xlfn.BYROW(_xlfn.HSTACK(N(data_mod!$Y$2:$Y$63=$A16),N(data_mod!$AA$2:$AA$63=$A16)),_xlfn.LAMBDA(_xlpm.row,SUM(_xlpm.row)))),(data_mod!$T$2:$T$63="attacker")*(_xlfn.BYROW(_xlfn.HSTACK(N(data_mod!$Z$2:$Z$63=$A16),N(data_mod!$AB$2:$AB$63=$A16)),_xlfn.LAMBDA(_xlpm.row,SUM(_xlpm.row)))))=0,"-",IF(($D16=0),0,SUM(N(data_mod!$F$2:$F$63="a")*(data_mod!$M$2:$M$63="attacker")*(_xlfn.BYROW(_xlfn.HSTACK(N(data_mod!$Y$2:$Y$63=$A16),N(data_mod!$AA$2:$AA$63=$A16)),_xlfn.LAMBDA(_xlpm.row,SUM(_xlpm.row)))),N(data_mod!$F$2:$F$63="b")*(data_mod!$T$2:$T$63="attacker")*(_xlfn.BYROW(_xlfn.HSTACK(N(data_mod!$Z$2:$Z$63=$A16),N(data_mod!$AB$2:$AB$63=$A16)),_xlfn.LAMBDA(_xlpm.row,SUM(_xlpm.row)))))/SUM((data_mod!$M$2:$M$63="attacker")*(_xlfn.BYROW(_xlfn.HSTACK(N(data_mod!$Y$2:$Y$63=$A16),N(data_mod!$AA$2:$AA$63=$A16)),_xlfn.LAMBDA(_xlpm.row,SUM(_xlpm.row)))),(data_mod!$T$2:$T$63="attacker")*(_xlfn.BYROW(_xlfn.HSTACK(N(data_mod!$Z$2:$Z$63=$A16),N(data_mod!$AB$2:$AB$63=$A16)),_xlfn.LAMBDA(_xlpm.row,SUM(_xlpm.row)))))))</f>
        <v>0</v>
      </c>
      <c r="R16" s="40" cm="1">
        <f t="array" ref="R16">IF(SUM((data_mod!$M$2:$M$63="defender")*(_xlfn.BYROW(_xlfn.HSTACK(N(data_mod!$Y$2:$Y$63=$A16),N(data_mod!$AA$2:$AA$63=$A16)),_xlfn.LAMBDA(_xlpm.row,SUM(_xlpm.row)))),(data_mod!$T$2:$T$63="defender")*(_xlfn.BYROW(_xlfn.HSTACK(N(data_mod!$Z$2:$Z$63=$A16),N(data_mod!$AB$2:$AB$63=$A16)),_xlfn.LAMBDA(_xlpm.row,SUM(_xlpm.row)))))=0,"-",IF(($D16=0),0,SUM(N(data_mod!$F$2:$F$63="a")*(data_mod!$M$2:$M$63="defender")*(_xlfn.BYROW(_xlfn.HSTACK(N(data_mod!$Y$2:$Y$63=$A16),N(data_mod!$AA$2:$AA$63=$A16)),_xlfn.LAMBDA(_xlpm.row,SUM(_xlpm.row)))),N(data_mod!$F$2:$F$63="b")*(data_mod!$T$2:$T$63="defender")*(_xlfn.BYROW(_xlfn.HSTACK(N(data_mod!$Z$2:$Z$63=$A16),N(data_mod!$AB$2:$AB$63=$A16)),_xlfn.LAMBDA(_xlpm.row,SUM(_xlpm.row)))))/SUM((data_mod!$M$2:$M$63="defender")*(_xlfn.BYROW(_xlfn.HSTACK(N(data_mod!$Y$2:$Y$63=$A16),N(data_mod!$AA$2:$AA$63=$A16)),_xlfn.LAMBDA(_xlpm.row,SUM(_xlpm.row)))),(data_mod!$T$2:$T$63="defender")*(_xlfn.BYROW(_xlfn.HSTACK(N(data_mod!$Z$2:$Z$63=$A16),N(data_mod!$AB$2:$AB$63=$A16)),_xlfn.LAMBDA(_xlpm.row,SUM(_xlpm.row)))))))</f>
        <v>0.5</v>
      </c>
    </row>
    <row r="17" spans="1:18" x14ac:dyDescent="0.25">
      <c r="A17" s="45" t="s">
        <v>151</v>
      </c>
      <c r="B17" s="1" cm="1">
        <f t="array" ref="B17">SUM(N(_xlfn.VSTACK('Player-Force'!$F$3:$F$28,'Player-Force'!$G$3:$G$28,'Player-Force'!$J$3:$J$28,'Player-Force'!$K$3:$K$28)=A17))</f>
        <v>1</v>
      </c>
      <c r="C17" s="18" cm="1">
        <f t="array" ref="C17">SUM(_xlfn.BYROW(_xlfn.HSTACK(N(data_mod!$Y$2:$Y$63=A17),N(data_mod!$AA$2:$AA$63=A17)),_xlfn.LAMBDA(_xlpm.row,SUM(_xlpm.row))),_xlfn.BYROW(_xlfn.HSTACK(N(data_mod!$Z$2:$Z$63=A17),N(data_mod!$AB$2:$AB$63=A17)),_xlfn.LAMBDA(_xlpm.row,SUM(_xlpm.row))))</f>
        <v>5</v>
      </c>
      <c r="D17" s="44" cm="1">
        <f t="array" ref="D17">SUM((data_mod!$F$2:$F$63="a")*(_xlfn.BYROW(_xlfn.HSTACK(N(data_mod!$Y$2:$Y$63=A17),N(data_mod!$AA$2:$AA$63=A17)),_xlfn.LAMBDA(_xlpm.row,SUM(_xlpm.row)))),(data_mod!$F$2:$F$63="b")*(_xlfn.BYROW(_xlfn.HSTACK(N(data_mod!$Z$2:$Z$63=A17),N(data_mod!$AB$2:$AB$63=A17)),_xlfn.LAMBDA(_xlpm.row,SUM(_xlpm.row)))))/C17</f>
        <v>0.8</v>
      </c>
      <c r="E17" s="31" cm="1">
        <f t="array" ref="E17">SUM((data_mod!$F$2:$F$63="b")*(_xlfn.BYROW(_xlfn.HSTACK(N(data_mod!$Y$2:$Y$63=A17),N(data_mod!$AA$2:$AA$63=A17)),_xlfn.LAMBDA(_xlpm.row,SUM(_xlpm.row)))),(data_mod!$F$2:$F$63="a")*(_xlfn.BYROW(_xlfn.HSTACK(N(data_mod!$Z$2:$Z$63=A17),N(data_mod!$AB$2:$AB$63=A17)),_xlfn.LAMBDA(_xlpm.row,SUM(_xlpm.row)))))/C17</f>
        <v>0</v>
      </c>
      <c r="F17" s="32" cm="1">
        <f t="array" ref="F17">SUM((data_mod!$F$2:$F$63="none")*(_xlfn.BYROW(_xlfn.HSTACK(N(data_mod!$Y$2:$Y$63=A17),N(data_mod!$AA$2:$AA$63=A17)),_xlfn.LAMBDA(_xlpm.row,SUM(_xlpm.row)))),(data_mod!$F$2:$F$63="none")*(_xlfn.BYROW(_xlfn.HSTACK(N(data_mod!$Z$2:$Z$63=A17),N(data_mod!$AB$2:$AB$63=A17)),_xlfn.LAMBDA(_xlpm.row,SUM(_xlpm.row)))))/C17</f>
        <v>0.2</v>
      </c>
      <c r="G17" s="34" cm="1">
        <f t="array" ref="G17">SUM((data_mod!$L$2:$L$63)*(_xlfn.BYROW(_xlfn.HSTACK(N(data_mod!$Y$2:$Y$63=A17),N(data_mod!$AA$2:$AA$63=A17)),_xlfn.LAMBDA(_xlpm.row,SUM(_xlpm.row)))),(data_mod!$S$2:$S$63)*(_xlfn.BYROW(_xlfn.HSTACK(N(data_mod!$Z$2:$Z$63=A17),N(data_mod!$AB$2:$AB$63=A17)),_xlfn.LAMBDA(_xlpm.row,SUM(_xlpm.row)))))/C17</f>
        <v>6.2</v>
      </c>
      <c r="H17" s="28" cm="1">
        <f t="array" ref="H17">SUM((data_mod!$K$2:$K$63)*(_xlfn.BYROW(_xlfn.HSTACK(N(data_mod!$Y$2:$Y$63=A17),N(data_mod!$AA$2:$AA$63=A17)),_xlfn.LAMBDA(_xlpm.row,SUM(_xlpm.row)))),(data_mod!$R$2:$R$63)*(_xlfn.BYROW(_xlfn.HSTACK(N(data_mod!$Z$2:$Z$63=A17),N(data_mod!$AB$2:$AB$63=A17)),_xlfn.LAMBDA(_xlpm.row,SUM(_xlpm.row)))))/C17</f>
        <v>1.8</v>
      </c>
      <c r="I17" s="28" cm="1">
        <f t="array" ref="I17">SUM((data_mod!$R$2:$R$63)*(_xlfn.BYROW(_xlfn.HSTACK(N(data_mod!$Y$2:$Y$63=A17),N(data_mod!$AA$2:$AA$63=A17)),_xlfn.LAMBDA(_xlpm.row,SUM(_xlpm.row)))),(data_mod!$K$2:$K$63)*(_xlfn.BYROW(_xlfn.HSTACK(N(data_mod!$Z$2:$Z$63=A17),N(data_mod!$AB$2:$AB$63=A17)),_xlfn.LAMBDA(_xlpm.row,SUM(_xlpm.row)))))/C17</f>
        <v>4.4000000000000004</v>
      </c>
      <c r="J17" s="35">
        <f t="shared" si="0"/>
        <v>2.4444444444444446</v>
      </c>
      <c r="K17" s="30" cm="1">
        <f t="array" ref="K17">SUM((data_mod!$J$2:$J$63="attack")*(_xlfn.BYROW(_xlfn.HSTACK(N(data_mod!$Y$2:$Y$63=A17),N(data_mod!$AA$2:$AA$63=A17)),_xlfn.LAMBDA(_xlpm.row,SUM(_xlpm.row)))),(data_mod!$Q$2:$Q$63="attack")*(_xlfn.BYROW(_xlfn.HSTACK(N(data_mod!$Z$2:$Z$63=A17),N(data_mod!$AB$2:$AB$63=A17)),_xlfn.LAMBDA(_xlpm.row,SUM(_xlpm.row)))))/C17</f>
        <v>0.6</v>
      </c>
      <c r="L17" s="31" cm="1">
        <f t="array" ref="L17">SUM((data_mod!$J$2:$J$63="maneuver")*(_xlfn.BYROW(_xlfn.HSTACK(N(data_mod!$Y$2:$Y$63=A17),N(data_mod!$AA$2:$AA$63=A17)),_xlfn.LAMBDA(_xlpm.row,SUM(_xlpm.row)))),(data_mod!$Q$2:$Q$63="maneuver")*(_xlfn.BYROW(_xlfn.HSTACK(N(data_mod!$Z$2:$Z$63=A17),N(data_mod!$AB$2:$AB$63=A17)),_xlfn.LAMBDA(_xlpm.row,SUM(_xlpm.row)))))/C17</f>
        <v>0</v>
      </c>
      <c r="M17" s="32" cm="1">
        <f t="array" ref="M17">SUM((data_mod!$J$2:$J$63="defend")*(_xlfn.BYROW(_xlfn.HSTACK(N(data_mod!$Y$2:$Y$63=A17),N(data_mod!$AA$2:$AA$63=A17)),_xlfn.LAMBDA(_xlpm.row,SUM(_xlpm.row)))),(data_mod!$Q$2:$Q$63="defend")*(_xlfn.BYROW(_xlfn.HSTACK(N(data_mod!$Z$2:$Z$63=A17),N(data_mod!$AB$2:$AB$63=A17)),_xlfn.LAMBDA(_xlpm.row,SUM(_xlpm.row)))))/C17</f>
        <v>0.4</v>
      </c>
      <c r="N17" s="38" cm="1">
        <f t="array" ref="N17">IF(K17=0,"-",IF(($D17=0),0,SUM(N(data_mod!$F$2:$F$63="a")*(data_mod!$J$2:$J$63="attack")*(_xlfn.BYROW(_xlfn.HSTACK(N(data_mod!$Y$2:$Y$63=$A17),N(data_mod!$AA$2:$AA$63=$A17)),_xlfn.LAMBDA(_xlpm.row,SUM(_xlpm.row)))),N(data_mod!$F$2:$F$63="b")*(data_mod!$Q$2:$Q$63="attack")*(_xlfn.BYROW(_xlfn.HSTACK(N(data_mod!$Z$2:$Z$63=$A17),N(data_mod!$AB$2:$AB$63=$A17)),_xlfn.LAMBDA(_xlpm.row,SUM(_xlpm.row)))))/($C17*$K17)))</f>
        <v>1</v>
      </c>
      <c r="O17" s="39" t="str" cm="1">
        <f t="array" ref="O17">IF(L17=0,"-",IF(($L17=0),0,SUM(N(data_mod!$F$2:$F$63="a")*(data_mod!$J$2:$J$63="maneuver")*(_xlfn.BYROW(_xlfn.HSTACK(N(data_mod!$Y$2:$Y$63=$A17),N(data_mod!$AA$2:$AA$63=$A17)),_xlfn.LAMBDA(_xlpm.row,SUM(_xlpm.row)))),N(data_mod!$F$2:$F$63="b")*(data_mod!$Q$2:$Q$63="maneuver")*(_xlfn.BYROW(_xlfn.HSTACK(N(data_mod!$Z$2:$Z$63=$A17),N(data_mod!$AB$2:$AB$63=$A17)),_xlfn.LAMBDA(_xlpm.row,SUM(_xlpm.row)))))/($C17*$L17)))</f>
        <v>-</v>
      </c>
      <c r="P17" s="40" cm="1">
        <f t="array" ref="P17">IF(M17=0,"-",IF(($D17=0),0,SUM(N(data_mod!$F$2:$F$63="a")*(data_mod!$J$2:$J$63="defend")*(_xlfn.BYROW(_xlfn.HSTACK(N(data_mod!$Y$2:$Y$63=$A17),N(data_mod!$AA$2:$AA$63=$A17)),_xlfn.LAMBDA(_xlpm.row,SUM(_xlpm.row)))),N(data_mod!$F$2:$F$63="b")*(data_mod!$Q$2:$Q$63="defend")*(_xlfn.BYROW(_xlfn.HSTACK(N(data_mod!$Z$2:$Z$63=$A17),N(data_mod!$AB$2:$AB$63=$A17)),_xlfn.LAMBDA(_xlpm.row,SUM(_xlpm.row)))))/($C17*$M17)))</f>
        <v>0.5</v>
      </c>
      <c r="Q17" s="38" cm="1">
        <f t="array" ref="Q17">IF(SUM((data_mod!$M$2:$M$63="attacker")*(_xlfn.BYROW(_xlfn.HSTACK(N(data_mod!$Y$2:$Y$63=$A17),N(data_mod!$AA$2:$AA$63=$A17)),_xlfn.LAMBDA(_xlpm.row,SUM(_xlpm.row)))),(data_mod!$T$2:$T$63="attacker")*(_xlfn.BYROW(_xlfn.HSTACK(N(data_mod!$Z$2:$Z$63=$A17),N(data_mod!$AB$2:$AB$63=$A17)),_xlfn.LAMBDA(_xlpm.row,SUM(_xlpm.row)))))=0,"-",IF(($D17=0),0,SUM(N(data_mod!$F$2:$F$63="a")*(data_mod!$M$2:$M$63="attacker")*(_xlfn.BYROW(_xlfn.HSTACK(N(data_mod!$Y$2:$Y$63=$A17),N(data_mod!$AA$2:$AA$63=$A17)),_xlfn.LAMBDA(_xlpm.row,SUM(_xlpm.row)))),N(data_mod!$F$2:$F$63="b")*(data_mod!$T$2:$T$63="attacker")*(_xlfn.BYROW(_xlfn.HSTACK(N(data_mod!$Z$2:$Z$63=$A17),N(data_mod!$AB$2:$AB$63=$A17)),_xlfn.LAMBDA(_xlpm.row,SUM(_xlpm.row)))))/SUM((data_mod!$M$2:$M$63="attacker")*(_xlfn.BYROW(_xlfn.HSTACK(N(data_mod!$Y$2:$Y$63=$A17),N(data_mod!$AA$2:$AA$63=$A17)),_xlfn.LAMBDA(_xlpm.row,SUM(_xlpm.row)))),(data_mod!$T$2:$T$63="attacker")*(_xlfn.BYROW(_xlfn.HSTACK(N(data_mod!$Z$2:$Z$63=$A17),N(data_mod!$AB$2:$AB$63=$A17)),_xlfn.LAMBDA(_xlpm.row,SUM(_xlpm.row)))))))</f>
        <v>1</v>
      </c>
      <c r="R17" s="40" cm="1">
        <f t="array" ref="R17">IF(SUM((data_mod!$M$2:$M$63="defender")*(_xlfn.BYROW(_xlfn.HSTACK(N(data_mod!$Y$2:$Y$63=$A17),N(data_mod!$AA$2:$AA$63=$A17)),_xlfn.LAMBDA(_xlpm.row,SUM(_xlpm.row)))),(data_mod!$T$2:$T$63="defender")*(_xlfn.BYROW(_xlfn.HSTACK(N(data_mod!$Z$2:$Z$63=$A17),N(data_mod!$AB$2:$AB$63=$A17)),_xlfn.LAMBDA(_xlpm.row,SUM(_xlpm.row)))))=0,"-",IF(($D17=0),0,SUM(N(data_mod!$F$2:$F$63="a")*(data_mod!$M$2:$M$63="defender")*(_xlfn.BYROW(_xlfn.HSTACK(N(data_mod!$Y$2:$Y$63=$A17),N(data_mod!$AA$2:$AA$63=$A17)),_xlfn.LAMBDA(_xlpm.row,SUM(_xlpm.row)))),N(data_mod!$F$2:$F$63="b")*(data_mod!$T$2:$T$63="defender")*(_xlfn.BYROW(_xlfn.HSTACK(N(data_mod!$Z$2:$Z$63=$A17),N(data_mod!$AB$2:$AB$63=$A17)),_xlfn.LAMBDA(_xlpm.row,SUM(_xlpm.row)))))/SUM((data_mod!$M$2:$M$63="defender")*(_xlfn.BYROW(_xlfn.HSTACK(N(data_mod!$Y$2:$Y$63=$A17),N(data_mod!$AA$2:$AA$63=$A17)),_xlfn.LAMBDA(_xlpm.row,SUM(_xlpm.row)))),(data_mod!$T$2:$T$63="defender")*(_xlfn.BYROW(_xlfn.HSTACK(N(data_mod!$Z$2:$Z$63=$A17),N(data_mod!$AB$2:$AB$63=$A17)),_xlfn.LAMBDA(_xlpm.row,SUM(_xlpm.row)))))))</f>
        <v>0.66666666666666663</v>
      </c>
    </row>
    <row r="18" spans="1:18" x14ac:dyDescent="0.25">
      <c r="A18" s="45" t="s">
        <v>152</v>
      </c>
      <c r="B18" s="1" cm="1">
        <f t="array" ref="B18">SUM(N(_xlfn.VSTACK('Player-Force'!$F$3:$F$28,'Player-Force'!$G$3:$G$28,'Player-Force'!$J$3:$J$28,'Player-Force'!$K$3:$K$28)=A18))</f>
        <v>1</v>
      </c>
      <c r="C18" s="18" cm="1">
        <f t="array" ref="C18">SUM(_xlfn.BYROW(_xlfn.HSTACK(N(data_mod!$Y$2:$Y$63=A18),N(data_mod!$AA$2:$AA$63=A18)),_xlfn.LAMBDA(_xlpm.row,SUM(_xlpm.row))),_xlfn.BYROW(_xlfn.HSTACK(N(data_mod!$Z$2:$Z$63=A18),N(data_mod!$AB$2:$AB$63=A18)),_xlfn.LAMBDA(_xlpm.row,SUM(_xlpm.row))))</f>
        <v>5</v>
      </c>
      <c r="D18" s="44" cm="1">
        <f t="array" ref="D18">SUM((data_mod!$F$2:$F$63="a")*(_xlfn.BYROW(_xlfn.HSTACK(N(data_mod!$Y$2:$Y$63=A18),N(data_mod!$AA$2:$AA$63=A18)),_xlfn.LAMBDA(_xlpm.row,SUM(_xlpm.row)))),(data_mod!$F$2:$F$63="b")*(_xlfn.BYROW(_xlfn.HSTACK(N(data_mod!$Z$2:$Z$63=A18),N(data_mod!$AB$2:$AB$63=A18)),_xlfn.LAMBDA(_xlpm.row,SUM(_xlpm.row)))))/C18</f>
        <v>0.6</v>
      </c>
      <c r="E18" s="31" cm="1">
        <f t="array" ref="E18">SUM((data_mod!$F$2:$F$63="b")*(_xlfn.BYROW(_xlfn.HSTACK(N(data_mod!$Y$2:$Y$63=A18),N(data_mod!$AA$2:$AA$63=A18)),_xlfn.LAMBDA(_xlpm.row,SUM(_xlpm.row)))),(data_mod!$F$2:$F$63="a")*(_xlfn.BYROW(_xlfn.HSTACK(N(data_mod!$Z$2:$Z$63=A18),N(data_mod!$AB$2:$AB$63=A18)),_xlfn.LAMBDA(_xlpm.row,SUM(_xlpm.row)))))/C18</f>
        <v>0.2</v>
      </c>
      <c r="F18" s="32" cm="1">
        <f t="array" ref="F18">SUM((data_mod!$F$2:$F$63="none")*(_xlfn.BYROW(_xlfn.HSTACK(N(data_mod!$Y$2:$Y$63=A18),N(data_mod!$AA$2:$AA$63=A18)),_xlfn.LAMBDA(_xlpm.row,SUM(_xlpm.row)))),(data_mod!$F$2:$F$63="none")*(_xlfn.BYROW(_xlfn.HSTACK(N(data_mod!$Z$2:$Z$63=A18),N(data_mod!$AB$2:$AB$63=A18)),_xlfn.LAMBDA(_xlpm.row,SUM(_xlpm.row)))))/C18</f>
        <v>0.2</v>
      </c>
      <c r="G18" s="34" cm="1">
        <f t="array" ref="G18">SUM((data_mod!$L$2:$L$63)*(_xlfn.BYROW(_xlfn.HSTACK(N(data_mod!$Y$2:$Y$63=A18),N(data_mod!$AA$2:$AA$63=A18)),_xlfn.LAMBDA(_xlpm.row,SUM(_xlpm.row)))),(data_mod!$S$2:$S$63)*(_xlfn.BYROW(_xlfn.HSTACK(N(data_mod!$Z$2:$Z$63=A18),N(data_mod!$AB$2:$AB$63=A18)),_xlfn.LAMBDA(_xlpm.row,SUM(_xlpm.row)))))/C18</f>
        <v>5.2</v>
      </c>
      <c r="H18" s="28" cm="1">
        <f t="array" ref="H18">SUM((data_mod!$K$2:$K$63)*(_xlfn.BYROW(_xlfn.HSTACK(N(data_mod!$Y$2:$Y$63=A18),N(data_mod!$AA$2:$AA$63=A18)),_xlfn.LAMBDA(_xlpm.row,SUM(_xlpm.row)))),(data_mod!$R$2:$R$63)*(_xlfn.BYROW(_xlfn.HSTACK(N(data_mod!$Z$2:$Z$63=A18),N(data_mod!$AB$2:$AB$63=A18)),_xlfn.LAMBDA(_xlpm.row,SUM(_xlpm.row)))))/C18</f>
        <v>2.8</v>
      </c>
      <c r="I18" s="28" cm="1">
        <f t="array" ref="I18">SUM((data_mod!$R$2:$R$63)*(_xlfn.BYROW(_xlfn.HSTACK(N(data_mod!$Y$2:$Y$63=A18),N(data_mod!$AA$2:$AA$63=A18)),_xlfn.LAMBDA(_xlpm.row,SUM(_xlpm.row)))),(data_mod!$K$2:$K$63)*(_xlfn.BYROW(_xlfn.HSTACK(N(data_mod!$Z$2:$Z$63=A18),N(data_mod!$AB$2:$AB$63=A18)),_xlfn.LAMBDA(_xlpm.row,SUM(_xlpm.row)))))/C18</f>
        <v>3.6</v>
      </c>
      <c r="J18" s="35">
        <f t="shared" si="0"/>
        <v>1.2857142857142858</v>
      </c>
      <c r="K18" s="30" cm="1">
        <f t="array" ref="K18">SUM((data_mod!$J$2:$J$63="attack")*(_xlfn.BYROW(_xlfn.HSTACK(N(data_mod!$Y$2:$Y$63=A18),N(data_mod!$AA$2:$AA$63=A18)),_xlfn.LAMBDA(_xlpm.row,SUM(_xlpm.row)))),(data_mod!$Q$2:$Q$63="attack")*(_xlfn.BYROW(_xlfn.HSTACK(N(data_mod!$Z$2:$Z$63=A18),N(data_mod!$AB$2:$AB$63=A18)),_xlfn.LAMBDA(_xlpm.row,SUM(_xlpm.row)))))/C18</f>
        <v>0.6</v>
      </c>
      <c r="L18" s="31" cm="1">
        <f t="array" ref="L18">SUM((data_mod!$J$2:$J$63="maneuver")*(_xlfn.BYROW(_xlfn.HSTACK(N(data_mod!$Y$2:$Y$63=A18),N(data_mod!$AA$2:$AA$63=A18)),_xlfn.LAMBDA(_xlpm.row,SUM(_xlpm.row)))),(data_mod!$Q$2:$Q$63="maneuver")*(_xlfn.BYROW(_xlfn.HSTACK(N(data_mod!$Z$2:$Z$63=A18),N(data_mod!$AB$2:$AB$63=A18)),_xlfn.LAMBDA(_xlpm.row,SUM(_xlpm.row)))))/C18</f>
        <v>0.4</v>
      </c>
      <c r="M18" s="32" cm="1">
        <f t="array" ref="M18">SUM((data_mod!$J$2:$J$63="defend")*(_xlfn.BYROW(_xlfn.HSTACK(N(data_mod!$Y$2:$Y$63=A18),N(data_mod!$AA$2:$AA$63=A18)),_xlfn.LAMBDA(_xlpm.row,SUM(_xlpm.row)))),(data_mod!$Q$2:$Q$63="defend")*(_xlfn.BYROW(_xlfn.HSTACK(N(data_mod!$Z$2:$Z$63=A18),N(data_mod!$AB$2:$AB$63=A18)),_xlfn.LAMBDA(_xlpm.row,SUM(_xlpm.row)))))/C18</f>
        <v>0</v>
      </c>
      <c r="N18" s="38" cm="1">
        <f t="array" ref="N18">IF(K18=0,"-",IF(($D18=0),0,SUM(N(data_mod!$F$2:$F$63="a")*(data_mod!$J$2:$J$63="attack")*(_xlfn.BYROW(_xlfn.HSTACK(N(data_mod!$Y$2:$Y$63=$A18),N(data_mod!$AA$2:$AA$63=$A18)),_xlfn.LAMBDA(_xlpm.row,SUM(_xlpm.row)))),N(data_mod!$F$2:$F$63="b")*(data_mod!$Q$2:$Q$63="attack")*(_xlfn.BYROW(_xlfn.HSTACK(N(data_mod!$Z$2:$Z$63=$A18),N(data_mod!$AB$2:$AB$63=$A18)),_xlfn.LAMBDA(_xlpm.row,SUM(_xlpm.row)))))/($C18*$K18)))</f>
        <v>0.33333333333333331</v>
      </c>
      <c r="O18" s="39" cm="1">
        <f t="array" ref="O18">IF(L18=0,"-",IF(($L18=0),0,SUM(N(data_mod!$F$2:$F$63="a")*(data_mod!$J$2:$J$63="maneuver")*(_xlfn.BYROW(_xlfn.HSTACK(N(data_mod!$Y$2:$Y$63=$A18),N(data_mod!$AA$2:$AA$63=$A18)),_xlfn.LAMBDA(_xlpm.row,SUM(_xlpm.row)))),N(data_mod!$F$2:$F$63="b")*(data_mod!$Q$2:$Q$63="maneuver")*(_xlfn.BYROW(_xlfn.HSTACK(N(data_mod!$Z$2:$Z$63=$A18),N(data_mod!$AB$2:$AB$63=$A18)),_xlfn.LAMBDA(_xlpm.row,SUM(_xlpm.row)))))/($C18*$L18)))</f>
        <v>1</v>
      </c>
      <c r="P18" s="40" t="str" cm="1">
        <f t="array" ref="P18">IF(M18=0,"-",IF(($D18=0),0,SUM(N(data_mod!$F$2:$F$63="a")*(data_mod!$J$2:$J$63="defend")*(_xlfn.BYROW(_xlfn.HSTACK(N(data_mod!$Y$2:$Y$63=$A18),N(data_mod!$AA$2:$AA$63=$A18)),_xlfn.LAMBDA(_xlpm.row,SUM(_xlpm.row)))),N(data_mod!$F$2:$F$63="b")*(data_mod!$Q$2:$Q$63="defend")*(_xlfn.BYROW(_xlfn.HSTACK(N(data_mod!$Z$2:$Z$63=$A18),N(data_mod!$AB$2:$AB$63=$A18)),_xlfn.LAMBDA(_xlpm.row,SUM(_xlpm.row)))))/($C18*$M18)))</f>
        <v>-</v>
      </c>
      <c r="Q18" s="38" cm="1">
        <f t="array" ref="Q18">IF(SUM((data_mod!$M$2:$M$63="attacker")*(_xlfn.BYROW(_xlfn.HSTACK(N(data_mod!$Y$2:$Y$63=$A18),N(data_mod!$AA$2:$AA$63=$A18)),_xlfn.LAMBDA(_xlpm.row,SUM(_xlpm.row)))),(data_mod!$T$2:$T$63="attacker")*(_xlfn.BYROW(_xlfn.HSTACK(N(data_mod!$Z$2:$Z$63=$A18),N(data_mod!$AB$2:$AB$63=$A18)),_xlfn.LAMBDA(_xlpm.row,SUM(_xlpm.row)))))=0,"-",IF(($D18=0),0,SUM(N(data_mod!$F$2:$F$63="a")*(data_mod!$M$2:$M$63="attacker")*(_xlfn.BYROW(_xlfn.HSTACK(N(data_mod!$Y$2:$Y$63=$A18),N(data_mod!$AA$2:$AA$63=$A18)),_xlfn.LAMBDA(_xlpm.row,SUM(_xlpm.row)))),N(data_mod!$F$2:$F$63="b")*(data_mod!$T$2:$T$63="attacker")*(_xlfn.BYROW(_xlfn.HSTACK(N(data_mod!$Z$2:$Z$63=$A18),N(data_mod!$AB$2:$AB$63=$A18)),_xlfn.LAMBDA(_xlpm.row,SUM(_xlpm.row)))))/SUM((data_mod!$M$2:$M$63="attacker")*(_xlfn.BYROW(_xlfn.HSTACK(N(data_mod!$Y$2:$Y$63=$A18),N(data_mod!$AA$2:$AA$63=$A18)),_xlfn.LAMBDA(_xlpm.row,SUM(_xlpm.row)))),(data_mod!$T$2:$T$63="attacker")*(_xlfn.BYROW(_xlfn.HSTACK(N(data_mod!$Z$2:$Z$63=$A18),N(data_mod!$AB$2:$AB$63=$A18)),_xlfn.LAMBDA(_xlpm.row,SUM(_xlpm.row)))))))</f>
        <v>0.75</v>
      </c>
      <c r="R18" s="40" cm="1">
        <f t="array" ref="R18">IF(SUM((data_mod!$M$2:$M$63="defender")*(_xlfn.BYROW(_xlfn.HSTACK(N(data_mod!$Y$2:$Y$63=$A18),N(data_mod!$AA$2:$AA$63=$A18)),_xlfn.LAMBDA(_xlpm.row,SUM(_xlpm.row)))),(data_mod!$T$2:$T$63="defender")*(_xlfn.BYROW(_xlfn.HSTACK(N(data_mod!$Z$2:$Z$63=$A18),N(data_mod!$AB$2:$AB$63=$A18)),_xlfn.LAMBDA(_xlpm.row,SUM(_xlpm.row)))))=0,"-",IF(($D18=0),0,SUM(N(data_mod!$F$2:$F$63="a")*(data_mod!$M$2:$M$63="defender")*(_xlfn.BYROW(_xlfn.HSTACK(N(data_mod!$Y$2:$Y$63=$A18),N(data_mod!$AA$2:$AA$63=$A18)),_xlfn.LAMBDA(_xlpm.row,SUM(_xlpm.row)))),N(data_mod!$F$2:$F$63="b")*(data_mod!$T$2:$T$63="defender")*(_xlfn.BYROW(_xlfn.HSTACK(N(data_mod!$Z$2:$Z$63=$A18),N(data_mod!$AB$2:$AB$63=$A18)),_xlfn.LAMBDA(_xlpm.row,SUM(_xlpm.row)))))/SUM((data_mod!$M$2:$M$63="defender")*(_xlfn.BYROW(_xlfn.HSTACK(N(data_mod!$Y$2:$Y$63=$A18),N(data_mod!$AA$2:$AA$63=$A18)),_xlfn.LAMBDA(_xlpm.row,SUM(_xlpm.row)))),(data_mod!$T$2:$T$63="defender")*(_xlfn.BYROW(_xlfn.HSTACK(N(data_mod!$Z$2:$Z$63=$A18),N(data_mod!$AB$2:$AB$63=$A18)),_xlfn.LAMBDA(_xlpm.row,SUM(_xlpm.row)))))))</f>
        <v>0</v>
      </c>
    </row>
    <row r="19" spans="1:18" x14ac:dyDescent="0.25">
      <c r="A19" s="45" t="s">
        <v>150</v>
      </c>
      <c r="B19" s="1" cm="1">
        <f t="array" ref="B19">SUM(N(_xlfn.VSTACK('Player-Force'!$F$3:$F$28,'Player-Force'!$G$3:$G$28,'Player-Force'!$J$3:$J$28,'Player-Force'!$K$3:$K$28)=A19))</f>
        <v>1</v>
      </c>
      <c r="C19" s="18" cm="1">
        <f t="array" ref="C19">SUM(_xlfn.BYROW(_xlfn.HSTACK(N(data_mod!$Y$2:$Y$63=A19),N(data_mod!$AA$2:$AA$63=A19)),_xlfn.LAMBDA(_xlpm.row,SUM(_xlpm.row))),_xlfn.BYROW(_xlfn.HSTACK(N(data_mod!$Z$2:$Z$63=A19),N(data_mod!$AB$2:$AB$63=A19)),_xlfn.LAMBDA(_xlpm.row,SUM(_xlpm.row))))</f>
        <v>5</v>
      </c>
      <c r="D19" s="44" cm="1">
        <f t="array" ref="D19">SUM((data_mod!$F$2:$F$63="a")*(_xlfn.BYROW(_xlfn.HSTACK(N(data_mod!$Y$2:$Y$63=A19),N(data_mod!$AA$2:$AA$63=A19)),_xlfn.LAMBDA(_xlpm.row,SUM(_xlpm.row)))),(data_mod!$F$2:$F$63="b")*(_xlfn.BYROW(_xlfn.HSTACK(N(data_mod!$Z$2:$Z$63=A19),N(data_mod!$AB$2:$AB$63=A19)),_xlfn.LAMBDA(_xlpm.row,SUM(_xlpm.row)))))/C19</f>
        <v>0.2</v>
      </c>
      <c r="E19" s="31" cm="1">
        <f t="array" ref="E19">SUM((data_mod!$F$2:$F$63="b")*(_xlfn.BYROW(_xlfn.HSTACK(N(data_mod!$Y$2:$Y$63=A19),N(data_mod!$AA$2:$AA$63=A19)),_xlfn.LAMBDA(_xlpm.row,SUM(_xlpm.row)))),(data_mod!$F$2:$F$63="a")*(_xlfn.BYROW(_xlfn.HSTACK(N(data_mod!$Z$2:$Z$63=A19),N(data_mod!$AB$2:$AB$63=A19)),_xlfn.LAMBDA(_xlpm.row,SUM(_xlpm.row)))))/C19</f>
        <v>0.6</v>
      </c>
      <c r="F19" s="32" cm="1">
        <f t="array" ref="F19">SUM((data_mod!$F$2:$F$63="none")*(_xlfn.BYROW(_xlfn.HSTACK(N(data_mod!$Y$2:$Y$63=A19),N(data_mod!$AA$2:$AA$63=A19)),_xlfn.LAMBDA(_xlpm.row,SUM(_xlpm.row)))),(data_mod!$F$2:$F$63="none")*(_xlfn.BYROW(_xlfn.HSTACK(N(data_mod!$Z$2:$Z$63=A19),N(data_mod!$AB$2:$AB$63=A19)),_xlfn.LAMBDA(_xlpm.row,SUM(_xlpm.row)))))/C19</f>
        <v>0.2</v>
      </c>
      <c r="G19" s="34" cm="1">
        <f t="array" ref="G19">SUM((data_mod!$L$2:$L$63)*(_xlfn.BYROW(_xlfn.HSTACK(N(data_mod!$Y$2:$Y$63=A19),N(data_mod!$AA$2:$AA$63=A19)),_xlfn.LAMBDA(_xlpm.row,SUM(_xlpm.row)))),(data_mod!$S$2:$S$63)*(_xlfn.BYROW(_xlfn.HSTACK(N(data_mod!$Z$2:$Z$63=A19),N(data_mod!$AB$2:$AB$63=A19)),_xlfn.LAMBDA(_xlpm.row,SUM(_xlpm.row)))))/C19</f>
        <v>2.8</v>
      </c>
      <c r="H19" s="28" cm="1">
        <f t="array" ref="H19">SUM((data_mod!$K$2:$K$63)*(_xlfn.BYROW(_xlfn.HSTACK(N(data_mod!$Y$2:$Y$63=A19),N(data_mod!$AA$2:$AA$63=A19)),_xlfn.LAMBDA(_xlpm.row,SUM(_xlpm.row)))),(data_mod!$R$2:$R$63)*(_xlfn.BYROW(_xlfn.HSTACK(N(data_mod!$Z$2:$Z$63=A19),N(data_mod!$AB$2:$AB$63=A19)),_xlfn.LAMBDA(_xlpm.row,SUM(_xlpm.row)))))/C19</f>
        <v>3</v>
      </c>
      <c r="I19" s="28" cm="1">
        <f t="array" ref="I19">SUM((data_mod!$R$2:$R$63)*(_xlfn.BYROW(_xlfn.HSTACK(N(data_mod!$Y$2:$Y$63=A19),N(data_mod!$AA$2:$AA$63=A19)),_xlfn.LAMBDA(_xlpm.row,SUM(_xlpm.row)))),(data_mod!$K$2:$K$63)*(_xlfn.BYROW(_xlfn.HSTACK(N(data_mod!$Z$2:$Z$63=A19),N(data_mod!$AB$2:$AB$63=A19)),_xlfn.LAMBDA(_xlpm.row,SUM(_xlpm.row)))))/C19</f>
        <v>1.4</v>
      </c>
      <c r="J19" s="35">
        <f t="shared" si="0"/>
        <v>0.46666666666666662</v>
      </c>
      <c r="K19" s="30" cm="1">
        <f t="array" ref="K19">SUM((data_mod!$J$2:$J$63="attack")*(_xlfn.BYROW(_xlfn.HSTACK(N(data_mod!$Y$2:$Y$63=A19),N(data_mod!$AA$2:$AA$63=A19)),_xlfn.LAMBDA(_xlpm.row,SUM(_xlpm.row)))),(data_mod!$Q$2:$Q$63="attack")*(_xlfn.BYROW(_xlfn.HSTACK(N(data_mod!$Z$2:$Z$63=A19),N(data_mod!$AB$2:$AB$63=A19)),_xlfn.LAMBDA(_xlpm.row,SUM(_xlpm.row)))))/C19</f>
        <v>0.4</v>
      </c>
      <c r="L19" s="31" cm="1">
        <f t="array" ref="L19">SUM((data_mod!$J$2:$J$63="maneuver")*(_xlfn.BYROW(_xlfn.HSTACK(N(data_mod!$Y$2:$Y$63=A19),N(data_mod!$AA$2:$AA$63=A19)),_xlfn.LAMBDA(_xlpm.row,SUM(_xlpm.row)))),(data_mod!$Q$2:$Q$63="maneuver")*(_xlfn.BYROW(_xlfn.HSTACK(N(data_mod!$Z$2:$Z$63=A19),N(data_mod!$AB$2:$AB$63=A19)),_xlfn.LAMBDA(_xlpm.row,SUM(_xlpm.row)))))/C19</f>
        <v>0.4</v>
      </c>
      <c r="M19" s="32" cm="1">
        <f t="array" ref="M19">SUM((data_mod!$J$2:$J$63="defend")*(_xlfn.BYROW(_xlfn.HSTACK(N(data_mod!$Y$2:$Y$63=A19),N(data_mod!$AA$2:$AA$63=A19)),_xlfn.LAMBDA(_xlpm.row,SUM(_xlpm.row)))),(data_mod!$Q$2:$Q$63="defend")*(_xlfn.BYROW(_xlfn.HSTACK(N(data_mod!$Z$2:$Z$63=A19),N(data_mod!$AB$2:$AB$63=A19)),_xlfn.LAMBDA(_xlpm.row,SUM(_xlpm.row)))))/C19</f>
        <v>0.2</v>
      </c>
      <c r="N19" s="38" cm="1">
        <f t="array" ref="N19">IF(K19=0,"-",IF(($D19=0),0,SUM(N(data_mod!$F$2:$F$63="a")*(data_mod!$J$2:$J$63="attack")*(_xlfn.BYROW(_xlfn.HSTACK(N(data_mod!$Y$2:$Y$63=$A19),N(data_mod!$AA$2:$AA$63=$A19)),_xlfn.LAMBDA(_xlpm.row,SUM(_xlpm.row)))),N(data_mod!$F$2:$F$63="b")*(data_mod!$Q$2:$Q$63="attack")*(_xlfn.BYROW(_xlfn.HSTACK(N(data_mod!$Z$2:$Z$63=$A19),N(data_mod!$AB$2:$AB$63=$A19)),_xlfn.LAMBDA(_xlpm.row,SUM(_xlpm.row)))))/($C19*$K19)))</f>
        <v>0</v>
      </c>
      <c r="O19" s="39" cm="1">
        <f t="array" ref="O19">IF(L19=0,"-",IF(($L19=0),0,SUM(N(data_mod!$F$2:$F$63="a")*(data_mod!$J$2:$J$63="maneuver")*(_xlfn.BYROW(_xlfn.HSTACK(N(data_mod!$Y$2:$Y$63=$A19),N(data_mod!$AA$2:$AA$63=$A19)),_xlfn.LAMBDA(_xlpm.row,SUM(_xlpm.row)))),N(data_mod!$F$2:$F$63="b")*(data_mod!$Q$2:$Q$63="maneuver")*(_xlfn.BYROW(_xlfn.HSTACK(N(data_mod!$Z$2:$Z$63=$A19),N(data_mod!$AB$2:$AB$63=$A19)),_xlfn.LAMBDA(_xlpm.row,SUM(_xlpm.row)))))/($C19*$L19)))</f>
        <v>0.5</v>
      </c>
      <c r="P19" s="40" cm="1">
        <f t="array" ref="P19">IF(M19=0,"-",IF(($D19=0),0,SUM(N(data_mod!$F$2:$F$63="a")*(data_mod!$J$2:$J$63="defend")*(_xlfn.BYROW(_xlfn.HSTACK(N(data_mod!$Y$2:$Y$63=$A19),N(data_mod!$AA$2:$AA$63=$A19)),_xlfn.LAMBDA(_xlpm.row,SUM(_xlpm.row)))),N(data_mod!$F$2:$F$63="b")*(data_mod!$Q$2:$Q$63="defend")*(_xlfn.BYROW(_xlfn.HSTACK(N(data_mod!$Z$2:$Z$63=$A19),N(data_mod!$AB$2:$AB$63=$A19)),_xlfn.LAMBDA(_xlpm.row,SUM(_xlpm.row)))))/($C19*$M19)))</f>
        <v>0</v>
      </c>
      <c r="Q19" s="38" cm="1">
        <f t="array" ref="Q19">IF(SUM((data_mod!$M$2:$M$63="attacker")*(_xlfn.BYROW(_xlfn.HSTACK(N(data_mod!$Y$2:$Y$63=$A19),N(data_mod!$AA$2:$AA$63=$A19)),_xlfn.LAMBDA(_xlpm.row,SUM(_xlpm.row)))),(data_mod!$T$2:$T$63="attacker")*(_xlfn.BYROW(_xlfn.HSTACK(N(data_mod!$Z$2:$Z$63=$A19),N(data_mod!$AB$2:$AB$63=$A19)),_xlfn.LAMBDA(_xlpm.row,SUM(_xlpm.row)))))=0,"-",IF(($D19=0),0,SUM(N(data_mod!$F$2:$F$63="a")*(data_mod!$M$2:$M$63="attacker")*(_xlfn.BYROW(_xlfn.HSTACK(N(data_mod!$Y$2:$Y$63=$A19),N(data_mod!$AA$2:$AA$63=$A19)),_xlfn.LAMBDA(_xlpm.row,SUM(_xlpm.row)))),N(data_mod!$F$2:$F$63="b")*(data_mod!$T$2:$T$63="attacker")*(_xlfn.BYROW(_xlfn.HSTACK(N(data_mod!$Z$2:$Z$63=$A19),N(data_mod!$AB$2:$AB$63=$A19)),_xlfn.LAMBDA(_xlpm.row,SUM(_xlpm.row)))))/SUM((data_mod!$M$2:$M$63="attacker")*(_xlfn.BYROW(_xlfn.HSTACK(N(data_mod!$Y$2:$Y$63=$A19),N(data_mod!$AA$2:$AA$63=$A19)),_xlfn.LAMBDA(_xlpm.row,SUM(_xlpm.row)))),(data_mod!$T$2:$T$63="attacker")*(_xlfn.BYROW(_xlfn.HSTACK(N(data_mod!$Z$2:$Z$63=$A19),N(data_mod!$AB$2:$AB$63=$A19)),_xlfn.LAMBDA(_xlpm.row,SUM(_xlpm.row)))))))</f>
        <v>0.33333333333333331</v>
      </c>
      <c r="R19" s="40" cm="1">
        <f t="array" ref="R19">IF(SUM((data_mod!$M$2:$M$63="defender")*(_xlfn.BYROW(_xlfn.HSTACK(N(data_mod!$Y$2:$Y$63=$A19),N(data_mod!$AA$2:$AA$63=$A19)),_xlfn.LAMBDA(_xlpm.row,SUM(_xlpm.row)))),(data_mod!$T$2:$T$63="defender")*(_xlfn.BYROW(_xlfn.HSTACK(N(data_mod!$Z$2:$Z$63=$A19),N(data_mod!$AB$2:$AB$63=$A19)),_xlfn.LAMBDA(_xlpm.row,SUM(_xlpm.row)))))=0,"-",IF(($D19=0),0,SUM(N(data_mod!$F$2:$F$63="a")*(data_mod!$M$2:$M$63="defender")*(_xlfn.BYROW(_xlfn.HSTACK(N(data_mod!$Y$2:$Y$63=$A19),N(data_mod!$AA$2:$AA$63=$A19)),_xlfn.LAMBDA(_xlpm.row,SUM(_xlpm.row)))),N(data_mod!$F$2:$F$63="b")*(data_mod!$T$2:$T$63="defender")*(_xlfn.BYROW(_xlfn.HSTACK(N(data_mod!$Z$2:$Z$63=$A19),N(data_mod!$AB$2:$AB$63=$A19)),_xlfn.LAMBDA(_xlpm.row,SUM(_xlpm.row)))))/SUM((data_mod!$M$2:$M$63="defender")*(_xlfn.BYROW(_xlfn.HSTACK(N(data_mod!$Y$2:$Y$63=$A19),N(data_mod!$AA$2:$AA$63=$A19)),_xlfn.LAMBDA(_xlpm.row,SUM(_xlpm.row)))),(data_mod!$T$2:$T$63="defender")*(_xlfn.BYROW(_xlfn.HSTACK(N(data_mod!$Z$2:$Z$63=$A19),N(data_mod!$AB$2:$AB$63=$A19)),_xlfn.LAMBDA(_xlpm.row,SUM(_xlpm.row)))))))</f>
        <v>0</v>
      </c>
    </row>
    <row r="20" spans="1:18" x14ac:dyDescent="0.25">
      <c r="A20" s="45" t="s">
        <v>153</v>
      </c>
      <c r="B20" s="1" cm="1">
        <f t="array" ref="B20">SUM(N(_xlfn.VSTACK('Player-Force'!$F$3:$F$28,'Player-Force'!$G$3:$G$28,'Player-Force'!$J$3:$J$28,'Player-Force'!$K$3:$K$28)=A20))</f>
        <v>1</v>
      </c>
      <c r="C20" s="18" cm="1">
        <f t="array" ref="C20">SUM(_xlfn.BYROW(_xlfn.HSTACK(N(data_mod!$Y$2:$Y$63=A20),N(data_mod!$AA$2:$AA$63=A20)),_xlfn.LAMBDA(_xlpm.row,SUM(_xlpm.row))),_xlfn.BYROW(_xlfn.HSTACK(N(data_mod!$Z$2:$Z$63=A20),N(data_mod!$AB$2:$AB$63=A20)),_xlfn.LAMBDA(_xlpm.row,SUM(_xlpm.row))))</f>
        <v>5</v>
      </c>
      <c r="D20" s="44" cm="1">
        <f t="array" ref="D20">SUM((data_mod!$F$2:$F$63="a")*(_xlfn.BYROW(_xlfn.HSTACK(N(data_mod!$Y$2:$Y$63=A20),N(data_mod!$AA$2:$AA$63=A20)),_xlfn.LAMBDA(_xlpm.row,SUM(_xlpm.row)))),(data_mod!$F$2:$F$63="b")*(_xlfn.BYROW(_xlfn.HSTACK(N(data_mod!$Z$2:$Z$63=A20),N(data_mod!$AB$2:$AB$63=A20)),_xlfn.LAMBDA(_xlpm.row,SUM(_xlpm.row)))))/C20</f>
        <v>0.2</v>
      </c>
      <c r="E20" s="31" cm="1">
        <f t="array" ref="E20">SUM((data_mod!$F$2:$F$63="b")*(_xlfn.BYROW(_xlfn.HSTACK(N(data_mod!$Y$2:$Y$63=A20),N(data_mod!$AA$2:$AA$63=A20)),_xlfn.LAMBDA(_xlpm.row,SUM(_xlpm.row)))),(data_mod!$F$2:$F$63="a")*(_xlfn.BYROW(_xlfn.HSTACK(N(data_mod!$Z$2:$Z$63=A20),N(data_mod!$AB$2:$AB$63=A20)),_xlfn.LAMBDA(_xlpm.row,SUM(_xlpm.row)))))/C20</f>
        <v>0.8</v>
      </c>
      <c r="F20" s="32" cm="1">
        <f t="array" ref="F20">SUM((data_mod!$F$2:$F$63="none")*(_xlfn.BYROW(_xlfn.HSTACK(N(data_mod!$Y$2:$Y$63=A20),N(data_mod!$AA$2:$AA$63=A20)),_xlfn.LAMBDA(_xlpm.row,SUM(_xlpm.row)))),(data_mod!$F$2:$F$63="none")*(_xlfn.BYROW(_xlfn.HSTACK(N(data_mod!$Z$2:$Z$63=A20),N(data_mod!$AB$2:$AB$63=A20)),_xlfn.LAMBDA(_xlpm.row,SUM(_xlpm.row)))))/C20</f>
        <v>0</v>
      </c>
      <c r="G20" s="34" cm="1">
        <f t="array" ref="G20">SUM((data_mod!$L$2:$L$63)*(_xlfn.BYROW(_xlfn.HSTACK(N(data_mod!$Y$2:$Y$63=A20),N(data_mod!$AA$2:$AA$63=A20)),_xlfn.LAMBDA(_xlpm.row,SUM(_xlpm.row)))),(data_mod!$S$2:$S$63)*(_xlfn.BYROW(_xlfn.HSTACK(N(data_mod!$Z$2:$Z$63=A20),N(data_mod!$AB$2:$AB$63=A20)),_xlfn.LAMBDA(_xlpm.row,SUM(_xlpm.row)))))/C20</f>
        <v>3.8</v>
      </c>
      <c r="H20" s="28" cm="1">
        <f t="array" ref="H20">SUM((data_mod!$K$2:$K$63)*(_xlfn.BYROW(_xlfn.HSTACK(N(data_mod!$Y$2:$Y$63=A20),N(data_mod!$AA$2:$AA$63=A20)),_xlfn.LAMBDA(_xlpm.row,SUM(_xlpm.row)))),(data_mod!$R$2:$R$63)*(_xlfn.BYROW(_xlfn.HSTACK(N(data_mod!$Z$2:$Z$63=A20),N(data_mod!$AB$2:$AB$63=A20)),_xlfn.LAMBDA(_xlpm.row,SUM(_xlpm.row)))))/C20</f>
        <v>4</v>
      </c>
      <c r="I20" s="28" cm="1">
        <f t="array" ref="I20">SUM((data_mod!$R$2:$R$63)*(_xlfn.BYROW(_xlfn.HSTACK(N(data_mod!$Y$2:$Y$63=A20),N(data_mod!$AA$2:$AA$63=A20)),_xlfn.LAMBDA(_xlpm.row,SUM(_xlpm.row)))),(data_mod!$K$2:$K$63)*(_xlfn.BYROW(_xlfn.HSTACK(N(data_mod!$Z$2:$Z$63=A20),N(data_mod!$AB$2:$AB$63=A20)),_xlfn.LAMBDA(_xlpm.row,SUM(_xlpm.row)))))/C20</f>
        <v>3.4</v>
      </c>
      <c r="J20" s="35">
        <f t="shared" si="0"/>
        <v>0.85</v>
      </c>
      <c r="K20" s="30" cm="1">
        <f t="array" ref="K20">SUM((data_mod!$J$2:$J$63="attack")*(_xlfn.BYROW(_xlfn.HSTACK(N(data_mod!$Y$2:$Y$63=A20),N(data_mod!$AA$2:$AA$63=A20)),_xlfn.LAMBDA(_xlpm.row,SUM(_xlpm.row)))),(data_mod!$Q$2:$Q$63="attack")*(_xlfn.BYROW(_xlfn.HSTACK(N(data_mod!$Z$2:$Z$63=A20),N(data_mod!$AB$2:$AB$63=A20)),_xlfn.LAMBDA(_xlpm.row,SUM(_xlpm.row)))))/C20</f>
        <v>0.4</v>
      </c>
      <c r="L20" s="31" cm="1">
        <f t="array" ref="L20">SUM((data_mod!$J$2:$J$63="maneuver")*(_xlfn.BYROW(_xlfn.HSTACK(N(data_mod!$Y$2:$Y$63=A20),N(data_mod!$AA$2:$AA$63=A20)),_xlfn.LAMBDA(_xlpm.row,SUM(_xlpm.row)))),(data_mod!$Q$2:$Q$63="maneuver")*(_xlfn.BYROW(_xlfn.HSTACK(N(data_mod!$Z$2:$Z$63=A20),N(data_mod!$AB$2:$AB$63=A20)),_xlfn.LAMBDA(_xlpm.row,SUM(_xlpm.row)))))/C20</f>
        <v>0.2</v>
      </c>
      <c r="M20" s="32" cm="1">
        <f t="array" ref="M20">SUM((data_mod!$J$2:$J$63="defend")*(_xlfn.BYROW(_xlfn.HSTACK(N(data_mod!$Y$2:$Y$63=A20),N(data_mod!$AA$2:$AA$63=A20)),_xlfn.LAMBDA(_xlpm.row,SUM(_xlpm.row)))),(data_mod!$Q$2:$Q$63="defend")*(_xlfn.BYROW(_xlfn.HSTACK(N(data_mod!$Z$2:$Z$63=A20),N(data_mod!$AB$2:$AB$63=A20)),_xlfn.LAMBDA(_xlpm.row,SUM(_xlpm.row)))))/C20</f>
        <v>0.4</v>
      </c>
      <c r="N20" s="38" cm="1">
        <f t="array" ref="N20">IF(K20=0,"-",IF(($D20=0),0,SUM(N(data_mod!$F$2:$F$63="a")*(data_mod!$J$2:$J$63="attack")*(_xlfn.BYROW(_xlfn.HSTACK(N(data_mod!$Y$2:$Y$63=$A20),N(data_mod!$AA$2:$AA$63=$A20)),_xlfn.LAMBDA(_xlpm.row,SUM(_xlpm.row)))),N(data_mod!$F$2:$F$63="b")*(data_mod!$Q$2:$Q$63="attack")*(_xlfn.BYROW(_xlfn.HSTACK(N(data_mod!$Z$2:$Z$63=$A20),N(data_mod!$AB$2:$AB$63=$A20)),_xlfn.LAMBDA(_xlpm.row,SUM(_xlpm.row)))))/($C20*$K20)))</f>
        <v>0</v>
      </c>
      <c r="O20" s="39" cm="1">
        <f t="array" ref="O20">IF(L20=0,"-",IF(($L20=0),0,SUM(N(data_mod!$F$2:$F$63="a")*(data_mod!$J$2:$J$63="maneuver")*(_xlfn.BYROW(_xlfn.HSTACK(N(data_mod!$Y$2:$Y$63=$A20),N(data_mod!$AA$2:$AA$63=$A20)),_xlfn.LAMBDA(_xlpm.row,SUM(_xlpm.row)))),N(data_mod!$F$2:$F$63="b")*(data_mod!$Q$2:$Q$63="maneuver")*(_xlfn.BYROW(_xlfn.HSTACK(N(data_mod!$Z$2:$Z$63=$A20),N(data_mod!$AB$2:$AB$63=$A20)),_xlfn.LAMBDA(_xlpm.row,SUM(_xlpm.row)))))/($C20*$L20)))</f>
        <v>0</v>
      </c>
      <c r="P20" s="40" cm="1">
        <f t="array" ref="P20">IF(M20=0,"-",IF(($D20=0),0,SUM(N(data_mod!$F$2:$F$63="a")*(data_mod!$J$2:$J$63="defend")*(_xlfn.BYROW(_xlfn.HSTACK(N(data_mod!$Y$2:$Y$63=$A20),N(data_mod!$AA$2:$AA$63=$A20)),_xlfn.LAMBDA(_xlpm.row,SUM(_xlpm.row)))),N(data_mod!$F$2:$F$63="b")*(data_mod!$Q$2:$Q$63="defend")*(_xlfn.BYROW(_xlfn.HSTACK(N(data_mod!$Z$2:$Z$63=$A20),N(data_mod!$AB$2:$AB$63=$A20)),_xlfn.LAMBDA(_xlpm.row,SUM(_xlpm.row)))))/($C20*$M20)))</f>
        <v>0.5</v>
      </c>
      <c r="Q20" s="38" cm="1">
        <f t="array" ref="Q20">IF(SUM((data_mod!$M$2:$M$63="attacker")*(_xlfn.BYROW(_xlfn.HSTACK(N(data_mod!$Y$2:$Y$63=$A20),N(data_mod!$AA$2:$AA$63=$A20)),_xlfn.LAMBDA(_xlpm.row,SUM(_xlpm.row)))),(data_mod!$T$2:$T$63="attacker")*(_xlfn.BYROW(_xlfn.HSTACK(N(data_mod!$Z$2:$Z$63=$A20),N(data_mod!$AB$2:$AB$63=$A20)),_xlfn.LAMBDA(_xlpm.row,SUM(_xlpm.row)))))=0,"-",IF(($D20=0),0,SUM(N(data_mod!$F$2:$F$63="a")*(data_mod!$M$2:$M$63="attacker")*(_xlfn.BYROW(_xlfn.HSTACK(N(data_mod!$Y$2:$Y$63=$A20),N(data_mod!$AA$2:$AA$63=$A20)),_xlfn.LAMBDA(_xlpm.row,SUM(_xlpm.row)))),N(data_mod!$F$2:$F$63="b")*(data_mod!$T$2:$T$63="attacker")*(_xlfn.BYROW(_xlfn.HSTACK(N(data_mod!$Z$2:$Z$63=$A20),N(data_mod!$AB$2:$AB$63=$A20)),_xlfn.LAMBDA(_xlpm.row,SUM(_xlpm.row)))))/SUM((data_mod!$M$2:$M$63="attacker")*(_xlfn.BYROW(_xlfn.HSTACK(N(data_mod!$Y$2:$Y$63=$A20),N(data_mod!$AA$2:$AA$63=$A20)),_xlfn.LAMBDA(_xlpm.row,SUM(_xlpm.row)))),(data_mod!$T$2:$T$63="attacker")*(_xlfn.BYROW(_xlfn.HSTACK(N(data_mod!$Z$2:$Z$63=$A20),N(data_mod!$AB$2:$AB$63=$A20)),_xlfn.LAMBDA(_xlpm.row,SUM(_xlpm.row)))))))</f>
        <v>0</v>
      </c>
      <c r="R20" s="40" cm="1">
        <f t="array" ref="R20">IF(SUM((data_mod!$M$2:$M$63="defender")*(_xlfn.BYROW(_xlfn.HSTACK(N(data_mod!$Y$2:$Y$63=$A20),N(data_mod!$AA$2:$AA$63=$A20)),_xlfn.LAMBDA(_xlpm.row,SUM(_xlpm.row)))),(data_mod!$T$2:$T$63="defender")*(_xlfn.BYROW(_xlfn.HSTACK(N(data_mod!$Z$2:$Z$63=$A20),N(data_mod!$AB$2:$AB$63=$A20)),_xlfn.LAMBDA(_xlpm.row,SUM(_xlpm.row)))))=0,"-",IF(($D20=0),0,SUM(N(data_mod!$F$2:$F$63="a")*(data_mod!$M$2:$M$63="defender")*(_xlfn.BYROW(_xlfn.HSTACK(N(data_mod!$Y$2:$Y$63=$A20),N(data_mod!$AA$2:$AA$63=$A20)),_xlfn.LAMBDA(_xlpm.row,SUM(_xlpm.row)))),N(data_mod!$F$2:$F$63="b")*(data_mod!$T$2:$T$63="defender")*(_xlfn.BYROW(_xlfn.HSTACK(N(data_mod!$Z$2:$Z$63=$A20),N(data_mod!$AB$2:$AB$63=$A20)),_xlfn.LAMBDA(_xlpm.row,SUM(_xlpm.row)))))/SUM((data_mod!$M$2:$M$63="defender")*(_xlfn.BYROW(_xlfn.HSTACK(N(data_mod!$Y$2:$Y$63=$A20),N(data_mod!$AA$2:$AA$63=$A20)),_xlfn.LAMBDA(_xlpm.row,SUM(_xlpm.row)))),(data_mod!$T$2:$T$63="defender")*(_xlfn.BYROW(_xlfn.HSTACK(N(data_mod!$Z$2:$Z$63=$A20),N(data_mod!$AB$2:$AB$63=$A20)),_xlfn.LAMBDA(_xlpm.row,SUM(_xlpm.row)))))))</f>
        <v>0.5</v>
      </c>
    </row>
    <row r="21" spans="1:18" x14ac:dyDescent="0.25">
      <c r="A21" s="45" t="s">
        <v>156</v>
      </c>
      <c r="B21" s="1" cm="1">
        <f t="array" ref="B21">SUM(N(_xlfn.VSTACK('Player-Force'!$F$3:$F$28,'Player-Force'!$G$3:$G$28,'Player-Force'!$J$3:$J$28,'Player-Force'!$K$3:$K$28)=A21))</f>
        <v>1</v>
      </c>
      <c r="C21" s="18" cm="1">
        <f t="array" ref="C21">SUM(_xlfn.BYROW(_xlfn.HSTACK(N(data_mod!$Y$2:$Y$63=A21),N(data_mod!$AA$2:$AA$63=A21)),_xlfn.LAMBDA(_xlpm.row,SUM(_xlpm.row))),_xlfn.BYROW(_xlfn.HSTACK(N(data_mod!$Z$2:$Z$63=A21),N(data_mod!$AB$2:$AB$63=A21)),_xlfn.LAMBDA(_xlpm.row,SUM(_xlpm.row))))</f>
        <v>4</v>
      </c>
      <c r="D21" s="44" cm="1">
        <f t="array" ref="D21">SUM((data_mod!$F$2:$F$63="a")*(_xlfn.BYROW(_xlfn.HSTACK(N(data_mod!$Y$2:$Y$63=A21),N(data_mod!$AA$2:$AA$63=A21)),_xlfn.LAMBDA(_xlpm.row,SUM(_xlpm.row)))),(data_mod!$F$2:$F$63="b")*(_xlfn.BYROW(_xlfn.HSTACK(N(data_mod!$Z$2:$Z$63=A21),N(data_mod!$AB$2:$AB$63=A21)),_xlfn.LAMBDA(_xlpm.row,SUM(_xlpm.row)))))/C21</f>
        <v>0.25</v>
      </c>
      <c r="E21" s="31" cm="1">
        <f t="array" ref="E21">SUM((data_mod!$F$2:$F$63="b")*(_xlfn.BYROW(_xlfn.HSTACK(N(data_mod!$Y$2:$Y$63=A21),N(data_mod!$AA$2:$AA$63=A21)),_xlfn.LAMBDA(_xlpm.row,SUM(_xlpm.row)))),(data_mod!$F$2:$F$63="a")*(_xlfn.BYROW(_xlfn.HSTACK(N(data_mod!$Z$2:$Z$63=A21),N(data_mod!$AB$2:$AB$63=A21)),_xlfn.LAMBDA(_xlpm.row,SUM(_xlpm.row)))))/C21</f>
        <v>0.5</v>
      </c>
      <c r="F21" s="32" cm="1">
        <f t="array" ref="F21">SUM((data_mod!$F$2:$F$63="none")*(_xlfn.BYROW(_xlfn.HSTACK(N(data_mod!$Y$2:$Y$63=A21),N(data_mod!$AA$2:$AA$63=A21)),_xlfn.LAMBDA(_xlpm.row,SUM(_xlpm.row)))),(data_mod!$F$2:$F$63="none")*(_xlfn.BYROW(_xlfn.HSTACK(N(data_mod!$Z$2:$Z$63=A21),N(data_mod!$AB$2:$AB$63=A21)),_xlfn.LAMBDA(_xlpm.row,SUM(_xlpm.row)))))/C21</f>
        <v>0.25</v>
      </c>
      <c r="G21" s="34" cm="1">
        <f t="array" ref="G21">SUM((data_mod!$L$2:$L$63)*(_xlfn.BYROW(_xlfn.HSTACK(N(data_mod!$Y$2:$Y$63=A21),N(data_mod!$AA$2:$AA$63=A21)),_xlfn.LAMBDA(_xlpm.row,SUM(_xlpm.row)))),(data_mod!$S$2:$S$63)*(_xlfn.BYROW(_xlfn.HSTACK(N(data_mod!$Z$2:$Z$63=A21),N(data_mod!$AB$2:$AB$63=A21)),_xlfn.LAMBDA(_xlpm.row,SUM(_xlpm.row)))))/C21</f>
        <v>3</v>
      </c>
      <c r="H21" s="28" cm="1">
        <f t="array" ref="H21">SUM((data_mod!$K$2:$K$63)*(_xlfn.BYROW(_xlfn.HSTACK(N(data_mod!$Y$2:$Y$63=A21),N(data_mod!$AA$2:$AA$63=A21)),_xlfn.LAMBDA(_xlpm.row,SUM(_xlpm.row)))),(data_mod!$R$2:$R$63)*(_xlfn.BYROW(_xlfn.HSTACK(N(data_mod!$Z$2:$Z$63=A21),N(data_mod!$AB$2:$AB$63=A21)),_xlfn.LAMBDA(_xlpm.row,SUM(_xlpm.row)))))/C21</f>
        <v>4.75</v>
      </c>
      <c r="I21" s="28" cm="1">
        <f t="array" ref="I21">SUM((data_mod!$R$2:$R$63)*(_xlfn.BYROW(_xlfn.HSTACK(N(data_mod!$Y$2:$Y$63=A21),N(data_mod!$AA$2:$AA$63=A21)),_xlfn.LAMBDA(_xlpm.row,SUM(_xlpm.row)))),(data_mod!$K$2:$K$63)*(_xlfn.BYROW(_xlfn.HSTACK(N(data_mod!$Z$2:$Z$63=A21),N(data_mod!$AB$2:$AB$63=A21)),_xlfn.LAMBDA(_xlpm.row,SUM(_xlpm.row)))))/C21</f>
        <v>1.75</v>
      </c>
      <c r="J21" s="35">
        <f t="shared" si="0"/>
        <v>0.36842105263157893</v>
      </c>
      <c r="K21" s="30" cm="1">
        <f t="array" ref="K21">SUM((data_mod!$J$2:$J$63="attack")*(_xlfn.BYROW(_xlfn.HSTACK(N(data_mod!$Y$2:$Y$63=A21),N(data_mod!$AA$2:$AA$63=A21)),_xlfn.LAMBDA(_xlpm.row,SUM(_xlpm.row)))),(data_mod!$Q$2:$Q$63="attack")*(_xlfn.BYROW(_xlfn.HSTACK(N(data_mod!$Z$2:$Z$63=A21),N(data_mod!$AB$2:$AB$63=A21)),_xlfn.LAMBDA(_xlpm.row,SUM(_xlpm.row)))))/C21</f>
        <v>0.75</v>
      </c>
      <c r="L21" s="31" cm="1">
        <f t="array" ref="L21">SUM((data_mod!$J$2:$J$63="maneuver")*(_xlfn.BYROW(_xlfn.HSTACK(N(data_mod!$Y$2:$Y$63=A21),N(data_mod!$AA$2:$AA$63=A21)),_xlfn.LAMBDA(_xlpm.row,SUM(_xlpm.row)))),(data_mod!$Q$2:$Q$63="maneuver")*(_xlfn.BYROW(_xlfn.HSTACK(N(data_mod!$Z$2:$Z$63=A21),N(data_mod!$AB$2:$AB$63=A21)),_xlfn.LAMBDA(_xlpm.row,SUM(_xlpm.row)))))/C21</f>
        <v>0.25</v>
      </c>
      <c r="M21" s="32" cm="1">
        <f t="array" ref="M21">SUM((data_mod!$J$2:$J$63="defend")*(_xlfn.BYROW(_xlfn.HSTACK(N(data_mod!$Y$2:$Y$63=A21),N(data_mod!$AA$2:$AA$63=A21)),_xlfn.LAMBDA(_xlpm.row,SUM(_xlpm.row)))),(data_mod!$Q$2:$Q$63="defend")*(_xlfn.BYROW(_xlfn.HSTACK(N(data_mod!$Z$2:$Z$63=A21),N(data_mod!$AB$2:$AB$63=A21)),_xlfn.LAMBDA(_xlpm.row,SUM(_xlpm.row)))))/C21</f>
        <v>0</v>
      </c>
      <c r="N21" s="38" cm="1">
        <f t="array" ref="N21">IF(K21=0,"-",IF(($D21=0),0,SUM(N(data_mod!$F$2:$F$63="a")*(data_mod!$J$2:$J$63="attack")*(_xlfn.BYROW(_xlfn.HSTACK(N(data_mod!$Y$2:$Y$63=$A21),N(data_mod!$AA$2:$AA$63=$A21)),_xlfn.LAMBDA(_xlpm.row,SUM(_xlpm.row)))),N(data_mod!$F$2:$F$63="b")*(data_mod!$Q$2:$Q$63="attack")*(_xlfn.BYROW(_xlfn.HSTACK(N(data_mod!$Z$2:$Z$63=$A21),N(data_mod!$AB$2:$AB$63=$A21)),_xlfn.LAMBDA(_xlpm.row,SUM(_xlpm.row)))))/($C21*$K21)))</f>
        <v>0.33333333333333331</v>
      </c>
      <c r="O21" s="39" cm="1">
        <f t="array" ref="O21">IF(L21=0,"-",IF(($L21=0),0,SUM(N(data_mod!$F$2:$F$63="a")*(data_mod!$J$2:$J$63="maneuver")*(_xlfn.BYROW(_xlfn.HSTACK(N(data_mod!$Y$2:$Y$63=$A21),N(data_mod!$AA$2:$AA$63=$A21)),_xlfn.LAMBDA(_xlpm.row,SUM(_xlpm.row)))),N(data_mod!$F$2:$F$63="b")*(data_mod!$Q$2:$Q$63="maneuver")*(_xlfn.BYROW(_xlfn.HSTACK(N(data_mod!$Z$2:$Z$63=$A21),N(data_mod!$AB$2:$AB$63=$A21)),_xlfn.LAMBDA(_xlpm.row,SUM(_xlpm.row)))))/($C21*$L21)))</f>
        <v>0</v>
      </c>
      <c r="P21" s="40" t="str" cm="1">
        <f t="array" ref="P21">IF(M21=0,"-",IF(($D21=0),0,SUM(N(data_mod!$F$2:$F$63="a")*(data_mod!$J$2:$J$63="defend")*(_xlfn.BYROW(_xlfn.HSTACK(N(data_mod!$Y$2:$Y$63=$A21),N(data_mod!$AA$2:$AA$63=$A21)),_xlfn.LAMBDA(_xlpm.row,SUM(_xlpm.row)))),N(data_mod!$F$2:$F$63="b")*(data_mod!$Q$2:$Q$63="defend")*(_xlfn.BYROW(_xlfn.HSTACK(N(data_mod!$Z$2:$Z$63=$A21),N(data_mod!$AB$2:$AB$63=$A21)),_xlfn.LAMBDA(_xlpm.row,SUM(_xlpm.row)))))/($C21*$M21)))</f>
        <v>-</v>
      </c>
      <c r="Q21" s="38" cm="1">
        <f t="array" ref="Q21">IF(SUM((data_mod!$M$2:$M$63="attacker")*(_xlfn.BYROW(_xlfn.HSTACK(N(data_mod!$Y$2:$Y$63=$A21),N(data_mod!$AA$2:$AA$63=$A21)),_xlfn.LAMBDA(_xlpm.row,SUM(_xlpm.row)))),(data_mod!$T$2:$T$63="attacker")*(_xlfn.BYROW(_xlfn.HSTACK(N(data_mod!$Z$2:$Z$63=$A21),N(data_mod!$AB$2:$AB$63=$A21)),_xlfn.LAMBDA(_xlpm.row,SUM(_xlpm.row)))))=0,"-",IF(($D21=0),0,SUM(N(data_mod!$F$2:$F$63="a")*(data_mod!$M$2:$M$63="attacker")*(_xlfn.BYROW(_xlfn.HSTACK(N(data_mod!$Y$2:$Y$63=$A21),N(data_mod!$AA$2:$AA$63=$A21)),_xlfn.LAMBDA(_xlpm.row,SUM(_xlpm.row)))),N(data_mod!$F$2:$F$63="b")*(data_mod!$T$2:$T$63="attacker")*(_xlfn.BYROW(_xlfn.HSTACK(N(data_mod!$Z$2:$Z$63=$A21),N(data_mod!$AB$2:$AB$63=$A21)),_xlfn.LAMBDA(_xlpm.row,SUM(_xlpm.row)))))/SUM((data_mod!$M$2:$M$63="attacker")*(_xlfn.BYROW(_xlfn.HSTACK(N(data_mod!$Y$2:$Y$63=$A21),N(data_mod!$AA$2:$AA$63=$A21)),_xlfn.LAMBDA(_xlpm.row,SUM(_xlpm.row)))),(data_mod!$T$2:$T$63="attacker")*(_xlfn.BYROW(_xlfn.HSTACK(N(data_mod!$Z$2:$Z$63=$A21),N(data_mod!$AB$2:$AB$63=$A21)),_xlfn.LAMBDA(_xlpm.row,SUM(_xlpm.row)))))))</f>
        <v>0.25</v>
      </c>
      <c r="R21" s="40" t="str" cm="1">
        <f t="array" ref="R21">IF(SUM((data_mod!$M$2:$M$63="defender")*(_xlfn.BYROW(_xlfn.HSTACK(N(data_mod!$Y$2:$Y$63=$A21),N(data_mod!$AA$2:$AA$63=$A21)),_xlfn.LAMBDA(_xlpm.row,SUM(_xlpm.row)))),(data_mod!$T$2:$T$63="defender")*(_xlfn.BYROW(_xlfn.HSTACK(N(data_mod!$Z$2:$Z$63=$A21),N(data_mod!$AB$2:$AB$63=$A21)),_xlfn.LAMBDA(_xlpm.row,SUM(_xlpm.row)))))=0,"-",IF(($D21=0),0,SUM(N(data_mod!$F$2:$F$63="a")*(data_mod!$M$2:$M$63="defender")*(_xlfn.BYROW(_xlfn.HSTACK(N(data_mod!$Y$2:$Y$63=$A21),N(data_mod!$AA$2:$AA$63=$A21)),_xlfn.LAMBDA(_xlpm.row,SUM(_xlpm.row)))),N(data_mod!$F$2:$F$63="b")*(data_mod!$T$2:$T$63="defender")*(_xlfn.BYROW(_xlfn.HSTACK(N(data_mod!$Z$2:$Z$63=$A21),N(data_mod!$AB$2:$AB$63=$A21)),_xlfn.LAMBDA(_xlpm.row,SUM(_xlpm.row)))))/SUM((data_mod!$M$2:$M$63="defender")*(_xlfn.BYROW(_xlfn.HSTACK(N(data_mod!$Y$2:$Y$63=$A21),N(data_mod!$AA$2:$AA$63=$A21)),_xlfn.LAMBDA(_xlpm.row,SUM(_xlpm.row)))),(data_mod!$T$2:$T$63="defender")*(_xlfn.BYROW(_xlfn.HSTACK(N(data_mod!$Z$2:$Z$63=$A21),N(data_mod!$AB$2:$AB$63=$A21)),_xlfn.LAMBDA(_xlpm.row,SUM(_xlpm.row)))))))</f>
        <v>-</v>
      </c>
    </row>
    <row r="22" spans="1:18" x14ac:dyDescent="0.25">
      <c r="A22" s="45" t="s">
        <v>154</v>
      </c>
      <c r="B22" s="1" cm="1">
        <f t="array" ref="B22">SUM(N(_xlfn.VSTACK('Player-Force'!$F$3:$F$28,'Player-Force'!$G$3:$G$28,'Player-Force'!$J$3:$J$28,'Player-Force'!$K$3:$K$28)=A22))</f>
        <v>2</v>
      </c>
      <c r="C22" s="18" cm="1">
        <f t="array" ref="C22">SUM(_xlfn.BYROW(_xlfn.HSTACK(N(data_mod!$Y$2:$Y$63=A22),N(data_mod!$AA$2:$AA$63=A22)),_xlfn.LAMBDA(_xlpm.row,SUM(_xlpm.row))),_xlfn.BYROW(_xlfn.HSTACK(N(data_mod!$Z$2:$Z$63=A22),N(data_mod!$AB$2:$AB$63=A22)),_xlfn.LAMBDA(_xlpm.row,SUM(_xlpm.row))))</f>
        <v>8</v>
      </c>
      <c r="D22" s="44" cm="1">
        <f t="array" ref="D22">SUM((data_mod!$F$2:$F$63="a")*(_xlfn.BYROW(_xlfn.HSTACK(N(data_mod!$Y$2:$Y$63=A22),N(data_mod!$AA$2:$AA$63=A22)),_xlfn.LAMBDA(_xlpm.row,SUM(_xlpm.row)))),(data_mod!$F$2:$F$63="b")*(_xlfn.BYROW(_xlfn.HSTACK(N(data_mod!$Z$2:$Z$63=A22),N(data_mod!$AB$2:$AB$63=A22)),_xlfn.LAMBDA(_xlpm.row,SUM(_xlpm.row)))))/C22</f>
        <v>0.625</v>
      </c>
      <c r="E22" s="31" cm="1">
        <f t="array" ref="E22">SUM((data_mod!$F$2:$F$63="b")*(_xlfn.BYROW(_xlfn.HSTACK(N(data_mod!$Y$2:$Y$63=A22),N(data_mod!$AA$2:$AA$63=A22)),_xlfn.LAMBDA(_xlpm.row,SUM(_xlpm.row)))),(data_mod!$F$2:$F$63="a")*(_xlfn.BYROW(_xlfn.HSTACK(N(data_mod!$Z$2:$Z$63=A22),N(data_mod!$AB$2:$AB$63=A22)),_xlfn.LAMBDA(_xlpm.row,SUM(_xlpm.row)))))/C22</f>
        <v>0.125</v>
      </c>
      <c r="F22" s="32" cm="1">
        <f t="array" ref="F22">SUM((data_mod!$F$2:$F$63="none")*(_xlfn.BYROW(_xlfn.HSTACK(N(data_mod!$Y$2:$Y$63=A22),N(data_mod!$AA$2:$AA$63=A22)),_xlfn.LAMBDA(_xlpm.row,SUM(_xlpm.row)))),(data_mod!$F$2:$F$63="none")*(_xlfn.BYROW(_xlfn.HSTACK(N(data_mod!$Z$2:$Z$63=A22),N(data_mod!$AB$2:$AB$63=A22)),_xlfn.LAMBDA(_xlpm.row,SUM(_xlpm.row)))))/C22</f>
        <v>0.25</v>
      </c>
      <c r="G22" s="34" cm="1">
        <f t="array" ref="G22">SUM((data_mod!$L$2:$L$63)*(_xlfn.BYROW(_xlfn.HSTACK(N(data_mod!$Y$2:$Y$63=A22),N(data_mod!$AA$2:$AA$63=A22)),_xlfn.LAMBDA(_xlpm.row,SUM(_xlpm.row)))),(data_mod!$S$2:$S$63)*(_xlfn.BYROW(_xlfn.HSTACK(N(data_mod!$Z$2:$Z$63=A22),N(data_mod!$AB$2:$AB$63=A22)),_xlfn.LAMBDA(_xlpm.row,SUM(_xlpm.row)))))/C22</f>
        <v>5</v>
      </c>
      <c r="H22" s="28" cm="1">
        <f t="array" ref="H22">SUM((data_mod!$K$2:$K$63)*(_xlfn.BYROW(_xlfn.HSTACK(N(data_mod!$Y$2:$Y$63=A22),N(data_mod!$AA$2:$AA$63=A22)),_xlfn.LAMBDA(_xlpm.row,SUM(_xlpm.row)))),(data_mod!$R$2:$R$63)*(_xlfn.BYROW(_xlfn.HSTACK(N(data_mod!$Z$2:$Z$63=A22),N(data_mod!$AB$2:$AB$63=A22)),_xlfn.LAMBDA(_xlpm.row,SUM(_xlpm.row)))))/C22</f>
        <v>1.5</v>
      </c>
      <c r="I22" s="28" cm="1">
        <f t="array" ref="I22">SUM((data_mod!$R$2:$R$63)*(_xlfn.BYROW(_xlfn.HSTACK(N(data_mod!$Y$2:$Y$63=A22),N(data_mod!$AA$2:$AA$63=A22)),_xlfn.LAMBDA(_xlpm.row,SUM(_xlpm.row)))),(data_mod!$K$2:$K$63)*(_xlfn.BYROW(_xlfn.HSTACK(N(data_mod!$Z$2:$Z$63=A22),N(data_mod!$AB$2:$AB$63=A22)),_xlfn.LAMBDA(_xlpm.row,SUM(_xlpm.row)))))/C22</f>
        <v>2.625</v>
      </c>
      <c r="J22" s="35">
        <f t="shared" si="0"/>
        <v>1.75</v>
      </c>
      <c r="K22" s="30" cm="1">
        <f t="array" ref="K22">SUM((data_mod!$J$2:$J$63="attack")*(_xlfn.BYROW(_xlfn.HSTACK(N(data_mod!$Y$2:$Y$63=A22),N(data_mod!$AA$2:$AA$63=A22)),_xlfn.LAMBDA(_xlpm.row,SUM(_xlpm.row)))),(data_mod!$Q$2:$Q$63="attack")*(_xlfn.BYROW(_xlfn.HSTACK(N(data_mod!$Z$2:$Z$63=A22),N(data_mod!$AB$2:$AB$63=A22)),_xlfn.LAMBDA(_xlpm.row,SUM(_xlpm.row)))))/C22</f>
        <v>0.125</v>
      </c>
      <c r="L22" s="31" cm="1">
        <f t="array" ref="L22">SUM((data_mod!$J$2:$J$63="maneuver")*(_xlfn.BYROW(_xlfn.HSTACK(N(data_mod!$Y$2:$Y$63=A22),N(data_mod!$AA$2:$AA$63=A22)),_xlfn.LAMBDA(_xlpm.row,SUM(_xlpm.row)))),(data_mod!$Q$2:$Q$63="maneuver")*(_xlfn.BYROW(_xlfn.HSTACK(N(data_mod!$Z$2:$Z$63=A22),N(data_mod!$AB$2:$AB$63=A22)),_xlfn.LAMBDA(_xlpm.row,SUM(_xlpm.row)))))/C22</f>
        <v>0.375</v>
      </c>
      <c r="M22" s="32" cm="1">
        <f t="array" ref="M22">SUM((data_mod!$J$2:$J$63="defend")*(_xlfn.BYROW(_xlfn.HSTACK(N(data_mod!$Y$2:$Y$63=A22),N(data_mod!$AA$2:$AA$63=A22)),_xlfn.LAMBDA(_xlpm.row,SUM(_xlpm.row)))),(data_mod!$Q$2:$Q$63="defend")*(_xlfn.BYROW(_xlfn.HSTACK(N(data_mod!$Z$2:$Z$63=A22),N(data_mod!$AB$2:$AB$63=A22)),_xlfn.LAMBDA(_xlpm.row,SUM(_xlpm.row)))))/C22</f>
        <v>0.5</v>
      </c>
      <c r="N22" s="38" cm="1">
        <f t="array" ref="N22">IF(K22=0,"-",IF(($D22=0),0,SUM(N(data_mod!$F$2:$F$63="a")*(data_mod!$J$2:$J$63="attack")*(_xlfn.BYROW(_xlfn.HSTACK(N(data_mod!$Y$2:$Y$63=$A22),N(data_mod!$AA$2:$AA$63=$A22)),_xlfn.LAMBDA(_xlpm.row,SUM(_xlpm.row)))),N(data_mod!$F$2:$F$63="b")*(data_mod!$Q$2:$Q$63="attack")*(_xlfn.BYROW(_xlfn.HSTACK(N(data_mod!$Z$2:$Z$63=$A22),N(data_mod!$AB$2:$AB$63=$A22)),_xlfn.LAMBDA(_xlpm.row,SUM(_xlpm.row)))))/($C22*$K22)))</f>
        <v>1</v>
      </c>
      <c r="O22" s="39" cm="1">
        <f t="array" ref="O22">IF(L22=0,"-",IF(($L22=0),0,SUM(N(data_mod!$F$2:$F$63="a")*(data_mod!$J$2:$J$63="maneuver")*(_xlfn.BYROW(_xlfn.HSTACK(N(data_mod!$Y$2:$Y$63=$A22),N(data_mod!$AA$2:$AA$63=$A22)),_xlfn.LAMBDA(_xlpm.row,SUM(_xlpm.row)))),N(data_mod!$F$2:$F$63="b")*(data_mod!$Q$2:$Q$63="maneuver")*(_xlfn.BYROW(_xlfn.HSTACK(N(data_mod!$Z$2:$Z$63=$A22),N(data_mod!$AB$2:$AB$63=$A22)),_xlfn.LAMBDA(_xlpm.row,SUM(_xlpm.row)))))/($C22*$L22)))</f>
        <v>0.66666666666666663</v>
      </c>
      <c r="P22" s="40" cm="1">
        <f t="array" ref="P22">IF(M22=0,"-",IF(($D22=0),0,SUM(N(data_mod!$F$2:$F$63="a")*(data_mod!$J$2:$J$63="defend")*(_xlfn.BYROW(_xlfn.HSTACK(N(data_mod!$Y$2:$Y$63=$A22),N(data_mod!$AA$2:$AA$63=$A22)),_xlfn.LAMBDA(_xlpm.row,SUM(_xlpm.row)))),N(data_mod!$F$2:$F$63="b")*(data_mod!$Q$2:$Q$63="defend")*(_xlfn.BYROW(_xlfn.HSTACK(N(data_mod!$Z$2:$Z$63=$A22),N(data_mod!$AB$2:$AB$63=$A22)),_xlfn.LAMBDA(_xlpm.row,SUM(_xlpm.row)))))/($C22*$M22)))</f>
        <v>0.5</v>
      </c>
      <c r="Q22" s="38" cm="1">
        <f t="array" ref="Q22">IF(SUM((data_mod!$M$2:$M$63="attacker")*(_xlfn.BYROW(_xlfn.HSTACK(N(data_mod!$Y$2:$Y$63=$A22),N(data_mod!$AA$2:$AA$63=$A22)),_xlfn.LAMBDA(_xlpm.row,SUM(_xlpm.row)))),(data_mod!$T$2:$T$63="attacker")*(_xlfn.BYROW(_xlfn.HSTACK(N(data_mod!$Z$2:$Z$63=$A22),N(data_mod!$AB$2:$AB$63=$A22)),_xlfn.LAMBDA(_xlpm.row,SUM(_xlpm.row)))))=0,"-",IF(($D22=0),0,SUM(N(data_mod!$F$2:$F$63="a")*(data_mod!$M$2:$M$63="attacker")*(_xlfn.BYROW(_xlfn.HSTACK(N(data_mod!$Y$2:$Y$63=$A22),N(data_mod!$AA$2:$AA$63=$A22)),_xlfn.LAMBDA(_xlpm.row,SUM(_xlpm.row)))),N(data_mod!$F$2:$F$63="b")*(data_mod!$T$2:$T$63="attacker")*(_xlfn.BYROW(_xlfn.HSTACK(N(data_mod!$Z$2:$Z$63=$A22),N(data_mod!$AB$2:$AB$63=$A22)),_xlfn.LAMBDA(_xlpm.row,SUM(_xlpm.row)))))/SUM((data_mod!$M$2:$M$63="attacker")*(_xlfn.BYROW(_xlfn.HSTACK(N(data_mod!$Y$2:$Y$63=$A22),N(data_mod!$AA$2:$AA$63=$A22)),_xlfn.LAMBDA(_xlpm.row,SUM(_xlpm.row)))),(data_mod!$T$2:$T$63="attacker")*(_xlfn.BYROW(_xlfn.HSTACK(N(data_mod!$Z$2:$Z$63=$A22),N(data_mod!$AB$2:$AB$63=$A22)),_xlfn.LAMBDA(_xlpm.row,SUM(_xlpm.row)))))))</f>
        <v>0.5</v>
      </c>
      <c r="R22" s="40" cm="1">
        <f t="array" ref="R22">IF(SUM((data_mod!$M$2:$M$63="defender")*(_xlfn.BYROW(_xlfn.HSTACK(N(data_mod!$Y$2:$Y$63=$A22),N(data_mod!$AA$2:$AA$63=$A22)),_xlfn.LAMBDA(_xlpm.row,SUM(_xlpm.row)))),(data_mod!$T$2:$T$63="defender")*(_xlfn.BYROW(_xlfn.HSTACK(N(data_mod!$Z$2:$Z$63=$A22),N(data_mod!$AB$2:$AB$63=$A22)),_xlfn.LAMBDA(_xlpm.row,SUM(_xlpm.row)))))=0,"-",IF(($D22=0),0,SUM(N(data_mod!$F$2:$F$63="a")*(data_mod!$M$2:$M$63="defender")*(_xlfn.BYROW(_xlfn.HSTACK(N(data_mod!$Y$2:$Y$63=$A22),N(data_mod!$AA$2:$AA$63=$A22)),_xlfn.LAMBDA(_xlpm.row,SUM(_xlpm.row)))),N(data_mod!$F$2:$F$63="b")*(data_mod!$T$2:$T$63="defender")*(_xlfn.BYROW(_xlfn.HSTACK(N(data_mod!$Z$2:$Z$63=$A22),N(data_mod!$AB$2:$AB$63=$A22)),_xlfn.LAMBDA(_xlpm.row,SUM(_xlpm.row)))))/SUM((data_mod!$M$2:$M$63="defender")*(_xlfn.BYROW(_xlfn.HSTACK(N(data_mod!$Y$2:$Y$63=$A22),N(data_mod!$AA$2:$AA$63=$A22)),_xlfn.LAMBDA(_xlpm.row,SUM(_xlpm.row)))),(data_mod!$T$2:$T$63="defender")*(_xlfn.BYROW(_xlfn.HSTACK(N(data_mod!$Z$2:$Z$63=$A22),N(data_mod!$AB$2:$AB$63=$A22)),_xlfn.LAMBDA(_xlpm.row,SUM(_xlpm.row)))))))</f>
        <v>0.66666666666666663</v>
      </c>
    </row>
    <row r="23" spans="1:18" x14ac:dyDescent="0.25">
      <c r="A23" s="45" t="s">
        <v>130</v>
      </c>
      <c r="B23" s="1" cm="1">
        <f t="array" ref="B23">SUM(N(_xlfn.VSTACK('Player-Force'!$F$3:$F$28,'Player-Force'!$G$3:$G$28,'Player-Force'!$J$3:$J$28,'Player-Force'!$K$3:$K$28)=A23))</f>
        <v>1</v>
      </c>
      <c r="C23" s="18" cm="1">
        <f t="array" ref="C23">SUM(_xlfn.BYROW(_xlfn.HSTACK(N(data_mod!$Y$2:$Y$63=A23),N(data_mod!$AA$2:$AA$63=A23)),_xlfn.LAMBDA(_xlpm.row,SUM(_xlpm.row))),_xlfn.BYROW(_xlfn.HSTACK(N(data_mod!$Z$2:$Z$63=A23),N(data_mod!$AB$2:$AB$63=A23)),_xlfn.LAMBDA(_xlpm.row,SUM(_xlpm.row))))</f>
        <v>3</v>
      </c>
      <c r="D23" s="44" cm="1">
        <f t="array" ref="D23">SUM((data_mod!$F$2:$F$63="a")*(_xlfn.BYROW(_xlfn.HSTACK(N(data_mod!$Y$2:$Y$63=A23),N(data_mod!$AA$2:$AA$63=A23)),_xlfn.LAMBDA(_xlpm.row,SUM(_xlpm.row)))),(data_mod!$F$2:$F$63="b")*(_xlfn.BYROW(_xlfn.HSTACK(N(data_mod!$Z$2:$Z$63=A23),N(data_mod!$AB$2:$AB$63=A23)),_xlfn.LAMBDA(_xlpm.row,SUM(_xlpm.row)))))/C23</f>
        <v>0.33333333333333331</v>
      </c>
      <c r="E23" s="31" cm="1">
        <f t="array" ref="E23">SUM((data_mod!$F$2:$F$63="b")*(_xlfn.BYROW(_xlfn.HSTACK(N(data_mod!$Y$2:$Y$63=A23),N(data_mod!$AA$2:$AA$63=A23)),_xlfn.LAMBDA(_xlpm.row,SUM(_xlpm.row)))),(data_mod!$F$2:$F$63="a")*(_xlfn.BYROW(_xlfn.HSTACK(N(data_mod!$Z$2:$Z$63=A23),N(data_mod!$AB$2:$AB$63=A23)),_xlfn.LAMBDA(_xlpm.row,SUM(_xlpm.row)))))/C23</f>
        <v>0.33333333333333331</v>
      </c>
      <c r="F23" s="32" cm="1">
        <f t="array" ref="F23">SUM((data_mod!$F$2:$F$63="none")*(_xlfn.BYROW(_xlfn.HSTACK(N(data_mod!$Y$2:$Y$63=A23),N(data_mod!$AA$2:$AA$63=A23)),_xlfn.LAMBDA(_xlpm.row,SUM(_xlpm.row)))),(data_mod!$F$2:$F$63="none")*(_xlfn.BYROW(_xlfn.HSTACK(N(data_mod!$Z$2:$Z$63=A23),N(data_mod!$AB$2:$AB$63=A23)),_xlfn.LAMBDA(_xlpm.row,SUM(_xlpm.row)))))/C23</f>
        <v>0.33333333333333331</v>
      </c>
      <c r="G23" s="34" cm="1">
        <f t="array" ref="G23">SUM((data_mod!$L$2:$L$63)*(_xlfn.BYROW(_xlfn.HSTACK(N(data_mod!$Y$2:$Y$63=A23),N(data_mod!$AA$2:$AA$63=A23)),_xlfn.LAMBDA(_xlpm.row,SUM(_xlpm.row)))),(data_mod!$S$2:$S$63)*(_xlfn.BYROW(_xlfn.HSTACK(N(data_mod!$Z$2:$Z$63=A23),N(data_mod!$AB$2:$AB$63=A23)),_xlfn.LAMBDA(_xlpm.row,SUM(_xlpm.row)))))/C23</f>
        <v>4</v>
      </c>
      <c r="H23" s="28" cm="1">
        <f t="array" ref="H23">SUM((data_mod!$K$2:$K$63)*(_xlfn.BYROW(_xlfn.HSTACK(N(data_mod!$Y$2:$Y$63=A23),N(data_mod!$AA$2:$AA$63=A23)),_xlfn.LAMBDA(_xlpm.row,SUM(_xlpm.row)))),(data_mod!$R$2:$R$63)*(_xlfn.BYROW(_xlfn.HSTACK(N(data_mod!$Z$2:$Z$63=A23),N(data_mod!$AB$2:$AB$63=A23)),_xlfn.LAMBDA(_xlpm.row,SUM(_xlpm.row)))))/C23</f>
        <v>3</v>
      </c>
      <c r="I23" s="28" cm="1">
        <f t="array" ref="I23">SUM((data_mod!$R$2:$R$63)*(_xlfn.BYROW(_xlfn.HSTACK(N(data_mod!$Y$2:$Y$63=A23),N(data_mod!$AA$2:$AA$63=A23)),_xlfn.LAMBDA(_xlpm.row,SUM(_xlpm.row)))),(data_mod!$K$2:$K$63)*(_xlfn.BYROW(_xlfn.HSTACK(N(data_mod!$Z$2:$Z$63=A23),N(data_mod!$AB$2:$AB$63=A23)),_xlfn.LAMBDA(_xlpm.row,SUM(_xlpm.row)))))/C23</f>
        <v>1.6666666666666667</v>
      </c>
      <c r="J23" s="35">
        <f t="shared" si="0"/>
        <v>0.55555555555555558</v>
      </c>
      <c r="K23" s="30" cm="1">
        <f t="array" ref="K23">SUM((data_mod!$J$2:$J$63="attack")*(_xlfn.BYROW(_xlfn.HSTACK(N(data_mod!$Y$2:$Y$63=A23),N(data_mod!$AA$2:$AA$63=A23)),_xlfn.LAMBDA(_xlpm.row,SUM(_xlpm.row)))),(data_mod!$Q$2:$Q$63="attack")*(_xlfn.BYROW(_xlfn.HSTACK(N(data_mod!$Z$2:$Z$63=A23),N(data_mod!$AB$2:$AB$63=A23)),_xlfn.LAMBDA(_xlpm.row,SUM(_xlpm.row)))))/C23</f>
        <v>0</v>
      </c>
      <c r="L23" s="31" cm="1">
        <f t="array" ref="L23">SUM((data_mod!$J$2:$J$63="maneuver")*(_xlfn.BYROW(_xlfn.HSTACK(N(data_mod!$Y$2:$Y$63=A23),N(data_mod!$AA$2:$AA$63=A23)),_xlfn.LAMBDA(_xlpm.row,SUM(_xlpm.row)))),(data_mod!$Q$2:$Q$63="maneuver")*(_xlfn.BYROW(_xlfn.HSTACK(N(data_mod!$Z$2:$Z$63=A23),N(data_mod!$AB$2:$AB$63=A23)),_xlfn.LAMBDA(_xlpm.row,SUM(_xlpm.row)))))/C23</f>
        <v>0.66666666666666663</v>
      </c>
      <c r="M23" s="32" cm="1">
        <f t="array" ref="M23">SUM((data_mod!$J$2:$J$63="defend")*(_xlfn.BYROW(_xlfn.HSTACK(N(data_mod!$Y$2:$Y$63=A23),N(data_mod!$AA$2:$AA$63=A23)),_xlfn.LAMBDA(_xlpm.row,SUM(_xlpm.row)))),(data_mod!$Q$2:$Q$63="defend")*(_xlfn.BYROW(_xlfn.HSTACK(N(data_mod!$Z$2:$Z$63=A23),N(data_mod!$AB$2:$AB$63=A23)),_xlfn.LAMBDA(_xlpm.row,SUM(_xlpm.row)))))/C23</f>
        <v>0.33333333333333331</v>
      </c>
      <c r="N23" s="38" t="str" cm="1">
        <f t="array" ref="N23">IF(K23=0,"-",IF(($D23=0),0,SUM(N(data_mod!$F$2:$F$63="a")*(data_mod!$J$2:$J$63="attack")*(_xlfn.BYROW(_xlfn.HSTACK(N(data_mod!$Y$2:$Y$63=$A23),N(data_mod!$AA$2:$AA$63=$A23)),_xlfn.LAMBDA(_xlpm.row,SUM(_xlpm.row)))),N(data_mod!$F$2:$F$63="b")*(data_mod!$Q$2:$Q$63="attack")*(_xlfn.BYROW(_xlfn.HSTACK(N(data_mod!$Z$2:$Z$63=$A23),N(data_mod!$AB$2:$AB$63=$A23)),_xlfn.LAMBDA(_xlpm.row,SUM(_xlpm.row)))))/($C23*$K23)))</f>
        <v>-</v>
      </c>
      <c r="O23" s="39" cm="1">
        <f t="array" ref="O23">IF(L23=0,"-",IF(($L23=0),0,SUM(N(data_mod!$F$2:$F$63="a")*(data_mod!$J$2:$J$63="maneuver")*(_xlfn.BYROW(_xlfn.HSTACK(N(data_mod!$Y$2:$Y$63=$A23),N(data_mod!$AA$2:$AA$63=$A23)),_xlfn.LAMBDA(_xlpm.row,SUM(_xlpm.row)))),N(data_mod!$F$2:$F$63="b")*(data_mod!$Q$2:$Q$63="maneuver")*(_xlfn.BYROW(_xlfn.HSTACK(N(data_mod!$Z$2:$Z$63=$A23),N(data_mod!$AB$2:$AB$63=$A23)),_xlfn.LAMBDA(_xlpm.row,SUM(_xlpm.row)))))/($C23*$L23)))</f>
        <v>0.5</v>
      </c>
      <c r="P23" s="40" cm="1">
        <f t="array" ref="P23">IF(M23=0,"-",IF(($D23=0),0,SUM(N(data_mod!$F$2:$F$63="a")*(data_mod!$J$2:$J$63="defend")*(_xlfn.BYROW(_xlfn.HSTACK(N(data_mod!$Y$2:$Y$63=$A23),N(data_mod!$AA$2:$AA$63=$A23)),_xlfn.LAMBDA(_xlpm.row,SUM(_xlpm.row)))),N(data_mod!$F$2:$F$63="b")*(data_mod!$Q$2:$Q$63="defend")*(_xlfn.BYROW(_xlfn.HSTACK(N(data_mod!$Z$2:$Z$63=$A23),N(data_mod!$AB$2:$AB$63=$A23)),_xlfn.LAMBDA(_xlpm.row,SUM(_xlpm.row)))))/($C23*$M23)))</f>
        <v>0</v>
      </c>
      <c r="Q23" s="38" cm="1">
        <f t="array" ref="Q23">IF(SUM((data_mod!$M$2:$M$63="attacker")*(_xlfn.BYROW(_xlfn.HSTACK(N(data_mod!$Y$2:$Y$63=$A23),N(data_mod!$AA$2:$AA$63=$A23)),_xlfn.LAMBDA(_xlpm.row,SUM(_xlpm.row)))),(data_mod!$T$2:$T$63="attacker")*(_xlfn.BYROW(_xlfn.HSTACK(N(data_mod!$Z$2:$Z$63=$A23),N(data_mod!$AB$2:$AB$63=$A23)),_xlfn.LAMBDA(_xlpm.row,SUM(_xlpm.row)))))=0,"-",IF(($D23=0),0,SUM(N(data_mod!$F$2:$F$63="a")*(data_mod!$M$2:$M$63="attacker")*(_xlfn.BYROW(_xlfn.HSTACK(N(data_mod!$Y$2:$Y$63=$A23),N(data_mod!$AA$2:$AA$63=$A23)),_xlfn.LAMBDA(_xlpm.row,SUM(_xlpm.row)))),N(data_mod!$F$2:$F$63="b")*(data_mod!$T$2:$T$63="attacker")*(_xlfn.BYROW(_xlfn.HSTACK(N(data_mod!$Z$2:$Z$63=$A23),N(data_mod!$AB$2:$AB$63=$A23)),_xlfn.LAMBDA(_xlpm.row,SUM(_xlpm.row)))))/SUM((data_mod!$M$2:$M$63="attacker")*(_xlfn.BYROW(_xlfn.HSTACK(N(data_mod!$Y$2:$Y$63=$A23),N(data_mod!$AA$2:$AA$63=$A23)),_xlfn.LAMBDA(_xlpm.row,SUM(_xlpm.row)))),(data_mod!$T$2:$T$63="attacker")*(_xlfn.BYROW(_xlfn.HSTACK(N(data_mod!$Z$2:$Z$63=$A23),N(data_mod!$AB$2:$AB$63=$A23)),_xlfn.LAMBDA(_xlpm.row,SUM(_xlpm.row)))))))</f>
        <v>0</v>
      </c>
      <c r="R23" s="40" cm="1">
        <f t="array" ref="R23">IF(SUM((data_mod!$M$2:$M$63="defender")*(_xlfn.BYROW(_xlfn.HSTACK(N(data_mod!$Y$2:$Y$63=$A23),N(data_mod!$AA$2:$AA$63=$A23)),_xlfn.LAMBDA(_xlpm.row,SUM(_xlpm.row)))),(data_mod!$T$2:$T$63="defender")*(_xlfn.BYROW(_xlfn.HSTACK(N(data_mod!$Z$2:$Z$63=$A23),N(data_mod!$AB$2:$AB$63=$A23)),_xlfn.LAMBDA(_xlpm.row,SUM(_xlpm.row)))))=0,"-",IF(($D23=0),0,SUM(N(data_mod!$F$2:$F$63="a")*(data_mod!$M$2:$M$63="defender")*(_xlfn.BYROW(_xlfn.HSTACK(N(data_mod!$Y$2:$Y$63=$A23),N(data_mod!$AA$2:$AA$63=$A23)),_xlfn.LAMBDA(_xlpm.row,SUM(_xlpm.row)))),N(data_mod!$F$2:$F$63="b")*(data_mod!$T$2:$T$63="defender")*(_xlfn.BYROW(_xlfn.HSTACK(N(data_mod!$Z$2:$Z$63=$A23),N(data_mod!$AB$2:$AB$63=$A23)),_xlfn.LAMBDA(_xlpm.row,SUM(_xlpm.row)))))/SUM((data_mod!$M$2:$M$63="defender")*(_xlfn.BYROW(_xlfn.HSTACK(N(data_mod!$Y$2:$Y$63=$A23),N(data_mod!$AA$2:$AA$63=$A23)),_xlfn.LAMBDA(_xlpm.row,SUM(_xlpm.row)))),(data_mod!$T$2:$T$63="defender")*(_xlfn.BYROW(_xlfn.HSTACK(N(data_mod!$Z$2:$Z$63=$A23),N(data_mod!$AB$2:$AB$63=$A23)),_xlfn.LAMBDA(_xlpm.row,SUM(_xlpm.row)))))))</f>
        <v>0.5</v>
      </c>
    </row>
    <row r="24" spans="1:18" x14ac:dyDescent="0.25">
      <c r="A24" s="45" t="s">
        <v>142</v>
      </c>
      <c r="B24" s="1" cm="1">
        <f t="array" ref="B24">SUM(N(_xlfn.VSTACK('Player-Force'!$F$3:$F$28,'Player-Force'!$G$3:$G$28,'Player-Force'!$J$3:$J$28,'Player-Force'!$K$3:$K$28)=A24))</f>
        <v>1</v>
      </c>
      <c r="C24" s="18" cm="1">
        <f t="array" ref="C24">SUM(_xlfn.BYROW(_xlfn.HSTACK(N(data_mod!$Y$2:$Y$63=A24),N(data_mod!$AA$2:$AA$63=A24)),_xlfn.LAMBDA(_xlpm.row,SUM(_xlpm.row))),_xlfn.BYROW(_xlfn.HSTACK(N(data_mod!$Z$2:$Z$63=A24),N(data_mod!$AB$2:$AB$63=A24)),_xlfn.LAMBDA(_xlpm.row,SUM(_xlpm.row))))</f>
        <v>3</v>
      </c>
      <c r="D24" s="44" cm="1">
        <f t="array" ref="D24">SUM((data_mod!$F$2:$F$63="a")*(_xlfn.BYROW(_xlfn.HSTACK(N(data_mod!$Y$2:$Y$63=A24),N(data_mod!$AA$2:$AA$63=A24)),_xlfn.LAMBDA(_xlpm.row,SUM(_xlpm.row)))),(data_mod!$F$2:$F$63="b")*(_xlfn.BYROW(_xlfn.HSTACK(N(data_mod!$Z$2:$Z$63=A24),N(data_mod!$AB$2:$AB$63=A24)),_xlfn.LAMBDA(_xlpm.row,SUM(_xlpm.row)))))/C24</f>
        <v>0.33333333333333331</v>
      </c>
      <c r="E24" s="31" cm="1">
        <f t="array" ref="E24">SUM((data_mod!$F$2:$F$63="b")*(_xlfn.BYROW(_xlfn.HSTACK(N(data_mod!$Y$2:$Y$63=A24),N(data_mod!$AA$2:$AA$63=A24)),_xlfn.LAMBDA(_xlpm.row,SUM(_xlpm.row)))),(data_mod!$F$2:$F$63="a")*(_xlfn.BYROW(_xlfn.HSTACK(N(data_mod!$Z$2:$Z$63=A24),N(data_mod!$AB$2:$AB$63=A24)),_xlfn.LAMBDA(_xlpm.row,SUM(_xlpm.row)))))/C24</f>
        <v>0.33333333333333331</v>
      </c>
      <c r="F24" s="32" cm="1">
        <f t="array" ref="F24">SUM((data_mod!$F$2:$F$63="none")*(_xlfn.BYROW(_xlfn.HSTACK(N(data_mod!$Y$2:$Y$63=A24),N(data_mod!$AA$2:$AA$63=A24)),_xlfn.LAMBDA(_xlpm.row,SUM(_xlpm.row)))),(data_mod!$F$2:$F$63="none")*(_xlfn.BYROW(_xlfn.HSTACK(N(data_mod!$Z$2:$Z$63=A24),N(data_mod!$AB$2:$AB$63=A24)),_xlfn.LAMBDA(_xlpm.row,SUM(_xlpm.row)))))/C24</f>
        <v>0.33333333333333331</v>
      </c>
      <c r="G24" s="34" cm="1">
        <f t="array" ref="G24">SUM((data_mod!$L$2:$L$63)*(_xlfn.BYROW(_xlfn.HSTACK(N(data_mod!$Y$2:$Y$63=A24),N(data_mod!$AA$2:$AA$63=A24)),_xlfn.LAMBDA(_xlpm.row,SUM(_xlpm.row)))),(data_mod!$S$2:$S$63)*(_xlfn.BYROW(_xlfn.HSTACK(N(data_mod!$Z$2:$Z$63=A24),N(data_mod!$AB$2:$AB$63=A24)),_xlfn.LAMBDA(_xlpm.row,SUM(_xlpm.row)))))/C24</f>
        <v>4</v>
      </c>
      <c r="H24" s="28" cm="1">
        <f t="array" ref="H24">SUM((data_mod!$K$2:$K$63)*(_xlfn.BYROW(_xlfn.HSTACK(N(data_mod!$Y$2:$Y$63=A24),N(data_mod!$AA$2:$AA$63=A24)),_xlfn.LAMBDA(_xlpm.row,SUM(_xlpm.row)))),(data_mod!$R$2:$R$63)*(_xlfn.BYROW(_xlfn.HSTACK(N(data_mod!$Z$2:$Z$63=A24),N(data_mod!$AB$2:$AB$63=A24)),_xlfn.LAMBDA(_xlpm.row,SUM(_xlpm.row)))))/C24</f>
        <v>2.6666666666666665</v>
      </c>
      <c r="I24" s="28" cm="1">
        <f t="array" ref="I24">SUM((data_mod!$R$2:$R$63)*(_xlfn.BYROW(_xlfn.HSTACK(N(data_mod!$Y$2:$Y$63=A24),N(data_mod!$AA$2:$AA$63=A24)),_xlfn.LAMBDA(_xlpm.row,SUM(_xlpm.row)))),(data_mod!$K$2:$K$63)*(_xlfn.BYROW(_xlfn.HSTACK(N(data_mod!$Z$2:$Z$63=A24),N(data_mod!$AB$2:$AB$63=A24)),_xlfn.LAMBDA(_xlpm.row,SUM(_xlpm.row)))))/C24</f>
        <v>2.6666666666666665</v>
      </c>
      <c r="J24" s="35">
        <f t="shared" si="0"/>
        <v>1</v>
      </c>
      <c r="K24" s="30" cm="1">
        <f t="array" ref="K24">SUM((data_mod!$J$2:$J$63="attack")*(_xlfn.BYROW(_xlfn.HSTACK(N(data_mod!$Y$2:$Y$63=A24),N(data_mod!$AA$2:$AA$63=A24)),_xlfn.LAMBDA(_xlpm.row,SUM(_xlpm.row)))),(data_mod!$Q$2:$Q$63="attack")*(_xlfn.BYROW(_xlfn.HSTACK(N(data_mod!$Z$2:$Z$63=A24),N(data_mod!$AB$2:$AB$63=A24)),_xlfn.LAMBDA(_xlpm.row,SUM(_xlpm.row)))))/C24</f>
        <v>0</v>
      </c>
      <c r="L24" s="31" cm="1">
        <f t="array" ref="L24">SUM((data_mod!$J$2:$J$63="maneuver")*(_xlfn.BYROW(_xlfn.HSTACK(N(data_mod!$Y$2:$Y$63=A24),N(data_mod!$AA$2:$AA$63=A24)),_xlfn.LAMBDA(_xlpm.row,SUM(_xlpm.row)))),(data_mod!$Q$2:$Q$63="maneuver")*(_xlfn.BYROW(_xlfn.HSTACK(N(data_mod!$Z$2:$Z$63=A24),N(data_mod!$AB$2:$AB$63=A24)),_xlfn.LAMBDA(_xlpm.row,SUM(_xlpm.row)))))/C24</f>
        <v>1</v>
      </c>
      <c r="M24" s="32" cm="1">
        <f t="array" ref="M24">SUM((data_mod!$J$2:$J$63="defend")*(_xlfn.BYROW(_xlfn.HSTACK(N(data_mod!$Y$2:$Y$63=A24),N(data_mod!$AA$2:$AA$63=A24)),_xlfn.LAMBDA(_xlpm.row,SUM(_xlpm.row)))),(data_mod!$Q$2:$Q$63="defend")*(_xlfn.BYROW(_xlfn.HSTACK(N(data_mod!$Z$2:$Z$63=A24),N(data_mod!$AB$2:$AB$63=A24)),_xlfn.LAMBDA(_xlpm.row,SUM(_xlpm.row)))))/C24</f>
        <v>0</v>
      </c>
      <c r="N24" s="38" t="str" cm="1">
        <f t="array" ref="N24">IF(K24=0,"-",IF(($D24=0),0,SUM(N(data_mod!$F$2:$F$63="a")*(data_mod!$J$2:$J$63="attack")*(_xlfn.BYROW(_xlfn.HSTACK(N(data_mod!$Y$2:$Y$63=$A24),N(data_mod!$AA$2:$AA$63=$A24)),_xlfn.LAMBDA(_xlpm.row,SUM(_xlpm.row)))),N(data_mod!$F$2:$F$63="b")*(data_mod!$Q$2:$Q$63="attack")*(_xlfn.BYROW(_xlfn.HSTACK(N(data_mod!$Z$2:$Z$63=$A24),N(data_mod!$AB$2:$AB$63=$A24)),_xlfn.LAMBDA(_xlpm.row,SUM(_xlpm.row)))))/($C24*$K24)))</f>
        <v>-</v>
      </c>
      <c r="O24" s="39" cm="1">
        <f t="array" ref="O24">IF(L24=0,"-",IF(($L24=0),0,SUM(N(data_mod!$F$2:$F$63="a")*(data_mod!$J$2:$J$63="maneuver")*(_xlfn.BYROW(_xlfn.HSTACK(N(data_mod!$Y$2:$Y$63=$A24),N(data_mod!$AA$2:$AA$63=$A24)),_xlfn.LAMBDA(_xlpm.row,SUM(_xlpm.row)))),N(data_mod!$F$2:$F$63="b")*(data_mod!$Q$2:$Q$63="maneuver")*(_xlfn.BYROW(_xlfn.HSTACK(N(data_mod!$Z$2:$Z$63=$A24),N(data_mod!$AB$2:$AB$63=$A24)),_xlfn.LAMBDA(_xlpm.row,SUM(_xlpm.row)))))/($C24*$L24)))</f>
        <v>0.33333333333333331</v>
      </c>
      <c r="P24" s="40" t="str" cm="1">
        <f t="array" ref="P24">IF(M24=0,"-",IF(($D24=0),0,SUM(N(data_mod!$F$2:$F$63="a")*(data_mod!$J$2:$J$63="defend")*(_xlfn.BYROW(_xlfn.HSTACK(N(data_mod!$Y$2:$Y$63=$A24),N(data_mod!$AA$2:$AA$63=$A24)),_xlfn.LAMBDA(_xlpm.row,SUM(_xlpm.row)))),N(data_mod!$F$2:$F$63="b")*(data_mod!$Q$2:$Q$63="defend")*(_xlfn.BYROW(_xlfn.HSTACK(N(data_mod!$Z$2:$Z$63=$A24),N(data_mod!$AB$2:$AB$63=$A24)),_xlfn.LAMBDA(_xlpm.row,SUM(_xlpm.row)))))/($C24*$M24)))</f>
        <v>-</v>
      </c>
      <c r="Q24" s="38" cm="1">
        <f t="array" ref="Q24">IF(SUM((data_mod!$M$2:$M$63="attacker")*(_xlfn.BYROW(_xlfn.HSTACK(N(data_mod!$Y$2:$Y$63=$A24),N(data_mod!$AA$2:$AA$63=$A24)),_xlfn.LAMBDA(_xlpm.row,SUM(_xlpm.row)))),(data_mod!$T$2:$T$63="attacker")*(_xlfn.BYROW(_xlfn.HSTACK(N(data_mod!$Z$2:$Z$63=$A24),N(data_mod!$AB$2:$AB$63=$A24)),_xlfn.LAMBDA(_xlpm.row,SUM(_xlpm.row)))))=0,"-",IF(($D24=0),0,SUM(N(data_mod!$F$2:$F$63="a")*(data_mod!$M$2:$M$63="attacker")*(_xlfn.BYROW(_xlfn.HSTACK(N(data_mod!$Y$2:$Y$63=$A24),N(data_mod!$AA$2:$AA$63=$A24)),_xlfn.LAMBDA(_xlpm.row,SUM(_xlpm.row)))),N(data_mod!$F$2:$F$63="b")*(data_mod!$T$2:$T$63="attacker")*(_xlfn.BYROW(_xlfn.HSTACK(N(data_mod!$Z$2:$Z$63=$A24),N(data_mod!$AB$2:$AB$63=$A24)),_xlfn.LAMBDA(_xlpm.row,SUM(_xlpm.row)))))/SUM((data_mod!$M$2:$M$63="attacker")*(_xlfn.BYROW(_xlfn.HSTACK(N(data_mod!$Y$2:$Y$63=$A24),N(data_mod!$AA$2:$AA$63=$A24)),_xlfn.LAMBDA(_xlpm.row,SUM(_xlpm.row)))),(data_mod!$T$2:$T$63="attacker")*(_xlfn.BYROW(_xlfn.HSTACK(N(data_mod!$Z$2:$Z$63=$A24),N(data_mod!$AB$2:$AB$63=$A24)),_xlfn.LAMBDA(_xlpm.row,SUM(_xlpm.row)))))))</f>
        <v>0.5</v>
      </c>
      <c r="R24" s="40" cm="1">
        <f t="array" ref="R24">IF(SUM((data_mod!$M$2:$M$63="defender")*(_xlfn.BYROW(_xlfn.HSTACK(N(data_mod!$Y$2:$Y$63=$A24),N(data_mod!$AA$2:$AA$63=$A24)),_xlfn.LAMBDA(_xlpm.row,SUM(_xlpm.row)))),(data_mod!$T$2:$T$63="defender")*(_xlfn.BYROW(_xlfn.HSTACK(N(data_mod!$Z$2:$Z$63=$A24),N(data_mod!$AB$2:$AB$63=$A24)),_xlfn.LAMBDA(_xlpm.row,SUM(_xlpm.row)))))=0,"-",IF(($D24=0),0,SUM(N(data_mod!$F$2:$F$63="a")*(data_mod!$M$2:$M$63="defender")*(_xlfn.BYROW(_xlfn.HSTACK(N(data_mod!$Y$2:$Y$63=$A24),N(data_mod!$AA$2:$AA$63=$A24)),_xlfn.LAMBDA(_xlpm.row,SUM(_xlpm.row)))),N(data_mod!$F$2:$F$63="b")*(data_mod!$T$2:$T$63="defender")*(_xlfn.BYROW(_xlfn.HSTACK(N(data_mod!$Z$2:$Z$63=$A24),N(data_mod!$AB$2:$AB$63=$A24)),_xlfn.LAMBDA(_xlpm.row,SUM(_xlpm.row)))))/SUM((data_mod!$M$2:$M$63="defender")*(_xlfn.BYROW(_xlfn.HSTACK(N(data_mod!$Y$2:$Y$63=$A24),N(data_mod!$AA$2:$AA$63=$A24)),_xlfn.LAMBDA(_xlpm.row,SUM(_xlpm.row)))),(data_mod!$T$2:$T$63="defender")*(_xlfn.BYROW(_xlfn.HSTACK(N(data_mod!$Z$2:$Z$63=$A24),N(data_mod!$AB$2:$AB$63=$A24)),_xlfn.LAMBDA(_xlpm.row,SUM(_xlpm.row)))))))</f>
        <v>0</v>
      </c>
    </row>
    <row r="25" spans="1:18" x14ac:dyDescent="0.25">
      <c r="A25" s="45" t="s">
        <v>159</v>
      </c>
      <c r="B25" s="1" cm="1">
        <f t="array" ref="B25">SUM(N(_xlfn.VSTACK('Player-Force'!$F$3:$F$28,'Player-Force'!$G$3:$G$28,'Player-Force'!$J$3:$J$28,'Player-Force'!$K$3:$K$28)=A25))</f>
        <v>1</v>
      </c>
      <c r="C25" s="18" cm="1">
        <f t="array" ref="C25">SUM(_xlfn.BYROW(_xlfn.HSTACK(N(data_mod!$Y$2:$Y$63=A25),N(data_mod!$AA$2:$AA$63=A25)),_xlfn.LAMBDA(_xlpm.row,SUM(_xlpm.row))),_xlfn.BYROW(_xlfn.HSTACK(N(data_mod!$Z$2:$Z$63=A25),N(data_mod!$AB$2:$AB$63=A25)),_xlfn.LAMBDA(_xlpm.row,SUM(_xlpm.row))))</f>
        <v>5</v>
      </c>
      <c r="D25" s="44" cm="1">
        <f t="array" ref="D25">SUM((data_mod!$F$2:$F$63="a")*(_xlfn.BYROW(_xlfn.HSTACK(N(data_mod!$Y$2:$Y$63=A25),N(data_mod!$AA$2:$AA$63=A25)),_xlfn.LAMBDA(_xlpm.row,SUM(_xlpm.row)))),(data_mod!$F$2:$F$63="b")*(_xlfn.BYROW(_xlfn.HSTACK(N(data_mod!$Z$2:$Z$63=A25),N(data_mod!$AB$2:$AB$63=A25)),_xlfn.LAMBDA(_xlpm.row,SUM(_xlpm.row)))))/C25</f>
        <v>0.8</v>
      </c>
      <c r="E25" s="31" cm="1">
        <f t="array" ref="E25">SUM((data_mod!$F$2:$F$63="b")*(_xlfn.BYROW(_xlfn.HSTACK(N(data_mod!$Y$2:$Y$63=A25),N(data_mod!$AA$2:$AA$63=A25)),_xlfn.LAMBDA(_xlpm.row,SUM(_xlpm.row)))),(data_mod!$F$2:$F$63="a")*(_xlfn.BYROW(_xlfn.HSTACK(N(data_mod!$Z$2:$Z$63=A25),N(data_mod!$AB$2:$AB$63=A25)),_xlfn.LAMBDA(_xlpm.row,SUM(_xlpm.row)))))/C25</f>
        <v>0</v>
      </c>
      <c r="F25" s="32" cm="1">
        <f t="array" ref="F25">SUM((data_mod!$F$2:$F$63="none")*(_xlfn.BYROW(_xlfn.HSTACK(N(data_mod!$Y$2:$Y$63=A25),N(data_mod!$AA$2:$AA$63=A25)),_xlfn.LAMBDA(_xlpm.row,SUM(_xlpm.row)))),(data_mod!$F$2:$F$63="none")*(_xlfn.BYROW(_xlfn.HSTACK(N(data_mod!$Z$2:$Z$63=A25),N(data_mod!$AB$2:$AB$63=A25)),_xlfn.LAMBDA(_xlpm.row,SUM(_xlpm.row)))))/C25</f>
        <v>0.2</v>
      </c>
      <c r="G25" s="34" cm="1">
        <f t="array" ref="G25">SUM((data_mod!$L$2:$L$63)*(_xlfn.BYROW(_xlfn.HSTACK(N(data_mod!$Y$2:$Y$63=A25),N(data_mod!$AA$2:$AA$63=A25)),_xlfn.LAMBDA(_xlpm.row,SUM(_xlpm.row)))),(data_mod!$S$2:$S$63)*(_xlfn.BYROW(_xlfn.HSTACK(N(data_mod!$Z$2:$Z$63=A25),N(data_mod!$AB$2:$AB$63=A25)),_xlfn.LAMBDA(_xlpm.row,SUM(_xlpm.row)))))/C25</f>
        <v>5.8</v>
      </c>
      <c r="H25" s="28" cm="1">
        <f t="array" ref="H25">SUM((data_mod!$K$2:$K$63)*(_xlfn.BYROW(_xlfn.HSTACK(N(data_mod!$Y$2:$Y$63=A25),N(data_mod!$AA$2:$AA$63=A25)),_xlfn.LAMBDA(_xlpm.row,SUM(_xlpm.row)))),(data_mod!$R$2:$R$63)*(_xlfn.BYROW(_xlfn.HSTACK(N(data_mod!$Z$2:$Z$63=A25),N(data_mod!$AB$2:$AB$63=A25)),_xlfn.LAMBDA(_xlpm.row,SUM(_xlpm.row)))))/C25</f>
        <v>1.6</v>
      </c>
      <c r="I25" s="28" cm="1">
        <f t="array" ref="I25">SUM((data_mod!$R$2:$R$63)*(_xlfn.BYROW(_xlfn.HSTACK(N(data_mod!$Y$2:$Y$63=A25),N(data_mod!$AA$2:$AA$63=A25)),_xlfn.LAMBDA(_xlpm.row,SUM(_xlpm.row)))),(data_mod!$K$2:$K$63)*(_xlfn.BYROW(_xlfn.HSTACK(N(data_mod!$Z$2:$Z$63=A25),N(data_mod!$AB$2:$AB$63=A25)),_xlfn.LAMBDA(_xlpm.row,SUM(_xlpm.row)))))/C25</f>
        <v>3.2</v>
      </c>
      <c r="J25" s="35">
        <f t="shared" si="0"/>
        <v>2</v>
      </c>
      <c r="K25" s="30" cm="1">
        <f t="array" ref="K25">SUM((data_mod!$J$2:$J$63="attack")*(_xlfn.BYROW(_xlfn.HSTACK(N(data_mod!$Y$2:$Y$63=A25),N(data_mod!$AA$2:$AA$63=A25)),_xlfn.LAMBDA(_xlpm.row,SUM(_xlpm.row)))),(data_mod!$Q$2:$Q$63="attack")*(_xlfn.BYROW(_xlfn.HSTACK(N(data_mod!$Z$2:$Z$63=A25),N(data_mod!$AB$2:$AB$63=A25)),_xlfn.LAMBDA(_xlpm.row,SUM(_xlpm.row)))))/C25</f>
        <v>0.2</v>
      </c>
      <c r="L25" s="31" cm="1">
        <f t="array" ref="L25">SUM((data_mod!$J$2:$J$63="maneuver")*(_xlfn.BYROW(_xlfn.HSTACK(N(data_mod!$Y$2:$Y$63=A25),N(data_mod!$AA$2:$AA$63=A25)),_xlfn.LAMBDA(_xlpm.row,SUM(_xlpm.row)))),(data_mod!$Q$2:$Q$63="maneuver")*(_xlfn.BYROW(_xlfn.HSTACK(N(data_mod!$Z$2:$Z$63=A25),N(data_mod!$AB$2:$AB$63=A25)),_xlfn.LAMBDA(_xlpm.row,SUM(_xlpm.row)))))/C25</f>
        <v>0.6</v>
      </c>
      <c r="M25" s="32" cm="1">
        <f t="array" ref="M25">SUM((data_mod!$J$2:$J$63="defend")*(_xlfn.BYROW(_xlfn.HSTACK(N(data_mod!$Y$2:$Y$63=A25),N(data_mod!$AA$2:$AA$63=A25)),_xlfn.LAMBDA(_xlpm.row,SUM(_xlpm.row)))),(data_mod!$Q$2:$Q$63="defend")*(_xlfn.BYROW(_xlfn.HSTACK(N(data_mod!$Z$2:$Z$63=A25),N(data_mod!$AB$2:$AB$63=A25)),_xlfn.LAMBDA(_xlpm.row,SUM(_xlpm.row)))))/C25</f>
        <v>0.2</v>
      </c>
      <c r="N25" s="38" cm="1">
        <f t="array" ref="N25">IF(K25=0,"-",IF(($D25=0),0,SUM(N(data_mod!$F$2:$F$63="a")*(data_mod!$J$2:$J$63="attack")*(_xlfn.BYROW(_xlfn.HSTACK(N(data_mod!$Y$2:$Y$63=$A25),N(data_mod!$AA$2:$AA$63=$A25)),_xlfn.LAMBDA(_xlpm.row,SUM(_xlpm.row)))),N(data_mod!$F$2:$F$63="b")*(data_mod!$Q$2:$Q$63="attack")*(_xlfn.BYROW(_xlfn.HSTACK(N(data_mod!$Z$2:$Z$63=$A25),N(data_mod!$AB$2:$AB$63=$A25)),_xlfn.LAMBDA(_xlpm.row,SUM(_xlpm.row)))))/($C25*$K25)))</f>
        <v>1</v>
      </c>
      <c r="O25" s="39" cm="1">
        <f t="array" ref="O25">IF(L25=0,"-",IF(($L25=0),0,SUM(N(data_mod!$F$2:$F$63="a")*(data_mod!$J$2:$J$63="maneuver")*(_xlfn.BYROW(_xlfn.HSTACK(N(data_mod!$Y$2:$Y$63=$A25),N(data_mod!$AA$2:$AA$63=$A25)),_xlfn.LAMBDA(_xlpm.row,SUM(_xlpm.row)))),N(data_mod!$F$2:$F$63="b")*(data_mod!$Q$2:$Q$63="maneuver")*(_xlfn.BYROW(_xlfn.HSTACK(N(data_mod!$Z$2:$Z$63=$A25),N(data_mod!$AB$2:$AB$63=$A25)),_xlfn.LAMBDA(_xlpm.row,SUM(_xlpm.row)))))/($C25*$L25)))</f>
        <v>0.66666666666666663</v>
      </c>
      <c r="P25" s="40" cm="1">
        <f t="array" ref="P25">IF(M25=0,"-",IF(($D25=0),0,SUM(N(data_mod!$F$2:$F$63="a")*(data_mod!$J$2:$J$63="defend")*(_xlfn.BYROW(_xlfn.HSTACK(N(data_mod!$Y$2:$Y$63=$A25),N(data_mod!$AA$2:$AA$63=$A25)),_xlfn.LAMBDA(_xlpm.row,SUM(_xlpm.row)))),N(data_mod!$F$2:$F$63="b")*(data_mod!$Q$2:$Q$63="defend")*(_xlfn.BYROW(_xlfn.HSTACK(N(data_mod!$Z$2:$Z$63=$A25),N(data_mod!$AB$2:$AB$63=$A25)),_xlfn.LAMBDA(_xlpm.row,SUM(_xlpm.row)))))/($C25*$M25)))</f>
        <v>1</v>
      </c>
      <c r="Q25" s="38" cm="1">
        <f t="array" ref="Q25">IF(SUM((data_mod!$M$2:$M$63="attacker")*(_xlfn.BYROW(_xlfn.HSTACK(N(data_mod!$Y$2:$Y$63=$A25),N(data_mod!$AA$2:$AA$63=$A25)),_xlfn.LAMBDA(_xlpm.row,SUM(_xlpm.row)))),(data_mod!$T$2:$T$63="attacker")*(_xlfn.BYROW(_xlfn.HSTACK(N(data_mod!$Z$2:$Z$63=$A25),N(data_mod!$AB$2:$AB$63=$A25)),_xlfn.LAMBDA(_xlpm.row,SUM(_xlpm.row)))))=0,"-",IF(($D25=0),0,SUM(N(data_mod!$F$2:$F$63="a")*(data_mod!$M$2:$M$63="attacker")*(_xlfn.BYROW(_xlfn.HSTACK(N(data_mod!$Y$2:$Y$63=$A25),N(data_mod!$AA$2:$AA$63=$A25)),_xlfn.LAMBDA(_xlpm.row,SUM(_xlpm.row)))),N(data_mod!$F$2:$F$63="b")*(data_mod!$T$2:$T$63="attacker")*(_xlfn.BYROW(_xlfn.HSTACK(N(data_mod!$Z$2:$Z$63=$A25),N(data_mod!$AB$2:$AB$63=$A25)),_xlfn.LAMBDA(_xlpm.row,SUM(_xlpm.row)))))/SUM((data_mod!$M$2:$M$63="attacker")*(_xlfn.BYROW(_xlfn.HSTACK(N(data_mod!$Y$2:$Y$63=$A25),N(data_mod!$AA$2:$AA$63=$A25)),_xlfn.LAMBDA(_xlpm.row,SUM(_xlpm.row)))),(data_mod!$T$2:$T$63="attacker")*(_xlfn.BYROW(_xlfn.HSTACK(N(data_mod!$Z$2:$Z$63=$A25),N(data_mod!$AB$2:$AB$63=$A25)),_xlfn.LAMBDA(_xlpm.row,SUM(_xlpm.row)))))))</f>
        <v>0.5</v>
      </c>
      <c r="R25" s="40" cm="1">
        <f t="array" ref="R25">IF(SUM((data_mod!$M$2:$M$63="defender")*(_xlfn.BYROW(_xlfn.HSTACK(N(data_mod!$Y$2:$Y$63=$A25),N(data_mod!$AA$2:$AA$63=$A25)),_xlfn.LAMBDA(_xlpm.row,SUM(_xlpm.row)))),(data_mod!$T$2:$T$63="defender")*(_xlfn.BYROW(_xlfn.HSTACK(N(data_mod!$Z$2:$Z$63=$A25),N(data_mod!$AB$2:$AB$63=$A25)),_xlfn.LAMBDA(_xlpm.row,SUM(_xlpm.row)))))=0,"-",IF(($D25=0),0,SUM(N(data_mod!$F$2:$F$63="a")*(data_mod!$M$2:$M$63="defender")*(_xlfn.BYROW(_xlfn.HSTACK(N(data_mod!$Y$2:$Y$63=$A25),N(data_mod!$AA$2:$AA$63=$A25)),_xlfn.LAMBDA(_xlpm.row,SUM(_xlpm.row)))),N(data_mod!$F$2:$F$63="b")*(data_mod!$T$2:$T$63="defender")*(_xlfn.BYROW(_xlfn.HSTACK(N(data_mod!$Z$2:$Z$63=$A25),N(data_mod!$AB$2:$AB$63=$A25)),_xlfn.LAMBDA(_xlpm.row,SUM(_xlpm.row)))))/SUM((data_mod!$M$2:$M$63="defender")*(_xlfn.BYROW(_xlfn.HSTACK(N(data_mod!$Y$2:$Y$63=$A25),N(data_mod!$AA$2:$AA$63=$A25)),_xlfn.LAMBDA(_xlpm.row,SUM(_xlpm.row)))),(data_mod!$T$2:$T$63="defender")*(_xlfn.BYROW(_xlfn.HSTACK(N(data_mod!$Z$2:$Z$63=$A25),N(data_mod!$AB$2:$AB$63=$A25)),_xlfn.LAMBDA(_xlpm.row,SUM(_xlpm.row)))))))</f>
        <v>1</v>
      </c>
    </row>
    <row r="26" spans="1:18" x14ac:dyDescent="0.25">
      <c r="A26" s="45" t="s">
        <v>133</v>
      </c>
      <c r="B26" s="1" cm="1">
        <f t="array" ref="B26">SUM(N(_xlfn.VSTACK('Player-Force'!$F$3:$F$28,'Player-Force'!$G$3:$G$28,'Player-Force'!$J$3:$J$28,'Player-Force'!$K$3:$K$28)=A26))</f>
        <v>1</v>
      </c>
      <c r="C26" s="18" cm="1">
        <f t="array" ref="C26">SUM(_xlfn.BYROW(_xlfn.HSTACK(N(data_mod!$Y$2:$Y$63=A26),N(data_mod!$AA$2:$AA$63=A26)),_xlfn.LAMBDA(_xlpm.row,SUM(_xlpm.row))),_xlfn.BYROW(_xlfn.HSTACK(N(data_mod!$Z$2:$Z$63=A26),N(data_mod!$AB$2:$AB$63=A26)),_xlfn.LAMBDA(_xlpm.row,SUM(_xlpm.row))))</f>
        <v>2</v>
      </c>
      <c r="D26" s="44" cm="1">
        <f t="array" ref="D26">SUM((data_mod!$F$2:$F$63="a")*(_xlfn.BYROW(_xlfn.HSTACK(N(data_mod!$Y$2:$Y$63=A26),N(data_mod!$AA$2:$AA$63=A26)),_xlfn.LAMBDA(_xlpm.row,SUM(_xlpm.row)))),(data_mod!$F$2:$F$63="b")*(_xlfn.BYROW(_xlfn.HSTACK(N(data_mod!$Z$2:$Z$63=A26),N(data_mod!$AB$2:$AB$63=A26)),_xlfn.LAMBDA(_xlpm.row,SUM(_xlpm.row)))))/C26</f>
        <v>0.5</v>
      </c>
      <c r="E26" s="31" cm="1">
        <f t="array" ref="E26">SUM((data_mod!$F$2:$F$63="b")*(_xlfn.BYROW(_xlfn.HSTACK(N(data_mod!$Y$2:$Y$63=A26),N(data_mod!$AA$2:$AA$63=A26)),_xlfn.LAMBDA(_xlpm.row,SUM(_xlpm.row)))),(data_mod!$F$2:$F$63="a")*(_xlfn.BYROW(_xlfn.HSTACK(N(data_mod!$Z$2:$Z$63=A26),N(data_mod!$AB$2:$AB$63=A26)),_xlfn.LAMBDA(_xlpm.row,SUM(_xlpm.row)))))/C26</f>
        <v>0.5</v>
      </c>
      <c r="F26" s="32" cm="1">
        <f t="array" ref="F26">SUM((data_mod!$F$2:$F$63="none")*(_xlfn.BYROW(_xlfn.HSTACK(N(data_mod!$Y$2:$Y$63=A26),N(data_mod!$AA$2:$AA$63=A26)),_xlfn.LAMBDA(_xlpm.row,SUM(_xlpm.row)))),(data_mod!$F$2:$F$63="none")*(_xlfn.BYROW(_xlfn.HSTACK(N(data_mod!$Z$2:$Z$63=A26),N(data_mod!$AB$2:$AB$63=A26)),_xlfn.LAMBDA(_xlpm.row,SUM(_xlpm.row)))))/C26</f>
        <v>0</v>
      </c>
      <c r="G26" s="34" cm="1">
        <f t="array" ref="G26">SUM((data_mod!$L$2:$L$63)*(_xlfn.BYROW(_xlfn.HSTACK(N(data_mod!$Y$2:$Y$63=A26),N(data_mod!$AA$2:$AA$63=A26)),_xlfn.LAMBDA(_xlpm.row,SUM(_xlpm.row)))),(data_mod!$S$2:$S$63)*(_xlfn.BYROW(_xlfn.HSTACK(N(data_mod!$Z$2:$Z$63=A26),N(data_mod!$AB$2:$AB$63=A26)),_xlfn.LAMBDA(_xlpm.row,SUM(_xlpm.row)))))/C26</f>
        <v>4.5</v>
      </c>
      <c r="H26" s="28" cm="1">
        <f t="array" ref="H26">SUM((data_mod!$K$2:$K$63)*(_xlfn.BYROW(_xlfn.HSTACK(N(data_mod!$Y$2:$Y$63=A26),N(data_mod!$AA$2:$AA$63=A26)),_xlfn.LAMBDA(_xlpm.row,SUM(_xlpm.row)))),(data_mod!$R$2:$R$63)*(_xlfn.BYROW(_xlfn.HSTACK(N(data_mod!$Z$2:$Z$63=A26),N(data_mod!$AB$2:$AB$63=A26)),_xlfn.LAMBDA(_xlpm.row,SUM(_xlpm.row)))))/C26</f>
        <v>2</v>
      </c>
      <c r="I26" s="28" cm="1">
        <f t="array" ref="I26">SUM((data_mod!$R$2:$R$63)*(_xlfn.BYROW(_xlfn.HSTACK(N(data_mod!$Y$2:$Y$63=A26),N(data_mod!$AA$2:$AA$63=A26)),_xlfn.LAMBDA(_xlpm.row,SUM(_xlpm.row)))),(data_mod!$K$2:$K$63)*(_xlfn.BYROW(_xlfn.HSTACK(N(data_mod!$Z$2:$Z$63=A26),N(data_mod!$AB$2:$AB$63=A26)),_xlfn.LAMBDA(_xlpm.row,SUM(_xlpm.row)))))/C26</f>
        <v>2.5</v>
      </c>
      <c r="J26" s="35">
        <f t="shared" si="0"/>
        <v>1.25</v>
      </c>
      <c r="K26" s="30" cm="1">
        <f t="array" ref="K26">SUM((data_mod!$J$2:$J$63="attack")*(_xlfn.BYROW(_xlfn.HSTACK(N(data_mod!$Y$2:$Y$63=A26),N(data_mod!$AA$2:$AA$63=A26)),_xlfn.LAMBDA(_xlpm.row,SUM(_xlpm.row)))),(data_mod!$Q$2:$Q$63="attack")*(_xlfn.BYROW(_xlfn.HSTACK(N(data_mod!$Z$2:$Z$63=A26),N(data_mod!$AB$2:$AB$63=A26)),_xlfn.LAMBDA(_xlpm.row,SUM(_xlpm.row)))))/C26</f>
        <v>0</v>
      </c>
      <c r="L26" s="31" cm="1">
        <f t="array" ref="L26">SUM((data_mod!$J$2:$J$63="maneuver")*(_xlfn.BYROW(_xlfn.HSTACK(N(data_mod!$Y$2:$Y$63=A26),N(data_mod!$AA$2:$AA$63=A26)),_xlfn.LAMBDA(_xlpm.row,SUM(_xlpm.row)))),(data_mod!$Q$2:$Q$63="maneuver")*(_xlfn.BYROW(_xlfn.HSTACK(N(data_mod!$Z$2:$Z$63=A26),N(data_mod!$AB$2:$AB$63=A26)),_xlfn.LAMBDA(_xlpm.row,SUM(_xlpm.row)))))/C26</f>
        <v>0</v>
      </c>
      <c r="M26" s="32" cm="1">
        <f t="array" ref="M26">SUM((data_mod!$J$2:$J$63="defend")*(_xlfn.BYROW(_xlfn.HSTACK(N(data_mod!$Y$2:$Y$63=A26),N(data_mod!$AA$2:$AA$63=A26)),_xlfn.LAMBDA(_xlpm.row,SUM(_xlpm.row)))),(data_mod!$Q$2:$Q$63="defend")*(_xlfn.BYROW(_xlfn.HSTACK(N(data_mod!$Z$2:$Z$63=A26),N(data_mod!$AB$2:$AB$63=A26)),_xlfn.LAMBDA(_xlpm.row,SUM(_xlpm.row)))))/C26</f>
        <v>1</v>
      </c>
      <c r="N26" s="38" t="str" cm="1">
        <f t="array" ref="N26">IF(K26=0,"-",IF(($D26=0),0,SUM(N(data_mod!$F$2:$F$63="a")*(data_mod!$J$2:$J$63="attack")*(_xlfn.BYROW(_xlfn.HSTACK(N(data_mod!$Y$2:$Y$63=$A26),N(data_mod!$AA$2:$AA$63=$A26)),_xlfn.LAMBDA(_xlpm.row,SUM(_xlpm.row)))),N(data_mod!$F$2:$F$63="b")*(data_mod!$Q$2:$Q$63="attack")*(_xlfn.BYROW(_xlfn.HSTACK(N(data_mod!$Z$2:$Z$63=$A26),N(data_mod!$AB$2:$AB$63=$A26)),_xlfn.LAMBDA(_xlpm.row,SUM(_xlpm.row)))))/($C26*$K26)))</f>
        <v>-</v>
      </c>
      <c r="O26" s="39" t="str" cm="1">
        <f t="array" ref="O26">IF(L26=0,"-",IF(($L26=0),0,SUM(N(data_mod!$F$2:$F$63="a")*(data_mod!$J$2:$J$63="maneuver")*(_xlfn.BYROW(_xlfn.HSTACK(N(data_mod!$Y$2:$Y$63=$A26),N(data_mod!$AA$2:$AA$63=$A26)),_xlfn.LAMBDA(_xlpm.row,SUM(_xlpm.row)))),N(data_mod!$F$2:$F$63="b")*(data_mod!$Q$2:$Q$63="maneuver")*(_xlfn.BYROW(_xlfn.HSTACK(N(data_mod!$Z$2:$Z$63=$A26),N(data_mod!$AB$2:$AB$63=$A26)),_xlfn.LAMBDA(_xlpm.row,SUM(_xlpm.row)))))/($C26*$L26)))</f>
        <v>-</v>
      </c>
      <c r="P26" s="40" cm="1">
        <f t="array" ref="P26">IF(M26=0,"-",IF(($D26=0),0,SUM(N(data_mod!$F$2:$F$63="a")*(data_mod!$J$2:$J$63="defend")*(_xlfn.BYROW(_xlfn.HSTACK(N(data_mod!$Y$2:$Y$63=$A26),N(data_mod!$AA$2:$AA$63=$A26)),_xlfn.LAMBDA(_xlpm.row,SUM(_xlpm.row)))),N(data_mod!$F$2:$F$63="b")*(data_mod!$Q$2:$Q$63="defend")*(_xlfn.BYROW(_xlfn.HSTACK(N(data_mod!$Z$2:$Z$63=$A26),N(data_mod!$AB$2:$AB$63=$A26)),_xlfn.LAMBDA(_xlpm.row,SUM(_xlpm.row)))))/($C26*$M26)))</f>
        <v>0.5</v>
      </c>
      <c r="Q26" s="38" cm="1">
        <f t="array" ref="Q26">IF(SUM((data_mod!$M$2:$M$63="attacker")*(_xlfn.BYROW(_xlfn.HSTACK(N(data_mod!$Y$2:$Y$63=$A26),N(data_mod!$AA$2:$AA$63=$A26)),_xlfn.LAMBDA(_xlpm.row,SUM(_xlpm.row)))),(data_mod!$T$2:$T$63="attacker")*(_xlfn.BYROW(_xlfn.HSTACK(N(data_mod!$Z$2:$Z$63=$A26),N(data_mod!$AB$2:$AB$63=$A26)),_xlfn.LAMBDA(_xlpm.row,SUM(_xlpm.row)))))=0,"-",IF(($D26=0),0,SUM(N(data_mod!$F$2:$F$63="a")*(data_mod!$M$2:$M$63="attacker")*(_xlfn.BYROW(_xlfn.HSTACK(N(data_mod!$Y$2:$Y$63=$A26),N(data_mod!$AA$2:$AA$63=$A26)),_xlfn.LAMBDA(_xlpm.row,SUM(_xlpm.row)))),N(data_mod!$F$2:$F$63="b")*(data_mod!$T$2:$T$63="attacker")*(_xlfn.BYROW(_xlfn.HSTACK(N(data_mod!$Z$2:$Z$63=$A26),N(data_mod!$AB$2:$AB$63=$A26)),_xlfn.LAMBDA(_xlpm.row,SUM(_xlpm.row)))))/SUM((data_mod!$M$2:$M$63="attacker")*(_xlfn.BYROW(_xlfn.HSTACK(N(data_mod!$Y$2:$Y$63=$A26),N(data_mod!$AA$2:$AA$63=$A26)),_xlfn.LAMBDA(_xlpm.row,SUM(_xlpm.row)))),(data_mod!$T$2:$T$63="attacker")*(_xlfn.BYROW(_xlfn.HSTACK(N(data_mod!$Z$2:$Z$63=$A26),N(data_mod!$AB$2:$AB$63=$A26)),_xlfn.LAMBDA(_xlpm.row,SUM(_xlpm.row)))))))</f>
        <v>0.5</v>
      </c>
      <c r="R26" s="40" t="str" cm="1">
        <f t="array" ref="R26">IF(SUM((data_mod!$M$2:$M$63="defender")*(_xlfn.BYROW(_xlfn.HSTACK(N(data_mod!$Y$2:$Y$63=$A26),N(data_mod!$AA$2:$AA$63=$A26)),_xlfn.LAMBDA(_xlpm.row,SUM(_xlpm.row)))),(data_mod!$T$2:$T$63="defender")*(_xlfn.BYROW(_xlfn.HSTACK(N(data_mod!$Z$2:$Z$63=$A26),N(data_mod!$AB$2:$AB$63=$A26)),_xlfn.LAMBDA(_xlpm.row,SUM(_xlpm.row)))))=0,"-",IF(($D26=0),0,SUM(N(data_mod!$F$2:$F$63="a")*(data_mod!$M$2:$M$63="defender")*(_xlfn.BYROW(_xlfn.HSTACK(N(data_mod!$Y$2:$Y$63=$A26),N(data_mod!$AA$2:$AA$63=$A26)),_xlfn.LAMBDA(_xlpm.row,SUM(_xlpm.row)))),N(data_mod!$F$2:$F$63="b")*(data_mod!$T$2:$T$63="defender")*(_xlfn.BYROW(_xlfn.HSTACK(N(data_mod!$Z$2:$Z$63=$A26),N(data_mod!$AB$2:$AB$63=$A26)),_xlfn.LAMBDA(_xlpm.row,SUM(_xlpm.row)))))/SUM((data_mod!$M$2:$M$63="defender")*(_xlfn.BYROW(_xlfn.HSTACK(N(data_mod!$Y$2:$Y$63=$A26),N(data_mod!$AA$2:$AA$63=$A26)),_xlfn.LAMBDA(_xlpm.row,SUM(_xlpm.row)))),(data_mod!$T$2:$T$63="defender")*(_xlfn.BYROW(_xlfn.HSTACK(N(data_mod!$Z$2:$Z$63=$A26),N(data_mod!$AB$2:$AB$63=$A26)),_xlfn.LAMBDA(_xlpm.row,SUM(_xlpm.row)))))))</f>
        <v>-</v>
      </c>
    </row>
    <row r="27" spans="1:18" x14ac:dyDescent="0.25">
      <c r="A27" s="45" t="s">
        <v>171</v>
      </c>
      <c r="B27" s="1" cm="1">
        <f t="array" ref="B27">SUM(N(_xlfn.VSTACK('Player-Force'!$F$3:$F$28,'Player-Force'!$G$3:$G$28,'Player-Force'!$J$3:$J$28,'Player-Force'!$K$3:$K$28)=A27))</f>
        <v>1</v>
      </c>
      <c r="C27" s="18" cm="1">
        <f t="array" ref="C27">SUM(_xlfn.BYROW(_xlfn.HSTACK(N(data_mod!$Y$2:$Y$63=A27),N(data_mod!$AA$2:$AA$63=A27)),_xlfn.LAMBDA(_xlpm.row,SUM(_xlpm.row))),_xlfn.BYROW(_xlfn.HSTACK(N(data_mod!$Z$2:$Z$63=A27),N(data_mod!$AB$2:$AB$63=A27)),_xlfn.LAMBDA(_xlpm.row,SUM(_xlpm.row))))</f>
        <v>1</v>
      </c>
      <c r="D27" s="44" cm="1">
        <f t="array" ref="D27">SUM((data_mod!$F$2:$F$63="a")*(_xlfn.BYROW(_xlfn.HSTACK(N(data_mod!$Y$2:$Y$63=A27),N(data_mod!$AA$2:$AA$63=A27)),_xlfn.LAMBDA(_xlpm.row,SUM(_xlpm.row)))),(data_mod!$F$2:$F$63="b")*(_xlfn.BYROW(_xlfn.HSTACK(N(data_mod!$Z$2:$Z$63=A27),N(data_mod!$AB$2:$AB$63=A27)),_xlfn.LAMBDA(_xlpm.row,SUM(_xlpm.row)))))/C27</f>
        <v>0</v>
      </c>
      <c r="E27" s="31" cm="1">
        <f t="array" ref="E27">SUM((data_mod!$F$2:$F$63="b")*(_xlfn.BYROW(_xlfn.HSTACK(N(data_mod!$Y$2:$Y$63=A27),N(data_mod!$AA$2:$AA$63=A27)),_xlfn.LAMBDA(_xlpm.row,SUM(_xlpm.row)))),(data_mod!$F$2:$F$63="a")*(_xlfn.BYROW(_xlfn.HSTACK(N(data_mod!$Z$2:$Z$63=A27),N(data_mod!$AB$2:$AB$63=A27)),_xlfn.LAMBDA(_xlpm.row,SUM(_xlpm.row)))))/C27</f>
        <v>1</v>
      </c>
      <c r="F27" s="32" cm="1">
        <f t="array" ref="F27">SUM((data_mod!$F$2:$F$63="none")*(_xlfn.BYROW(_xlfn.HSTACK(N(data_mod!$Y$2:$Y$63=A27),N(data_mod!$AA$2:$AA$63=A27)),_xlfn.LAMBDA(_xlpm.row,SUM(_xlpm.row)))),(data_mod!$F$2:$F$63="none")*(_xlfn.BYROW(_xlfn.HSTACK(N(data_mod!$Z$2:$Z$63=A27),N(data_mod!$AB$2:$AB$63=A27)),_xlfn.LAMBDA(_xlpm.row,SUM(_xlpm.row)))))/C27</f>
        <v>0</v>
      </c>
      <c r="G27" s="34" cm="1">
        <f t="array" ref="G27">SUM((data_mod!$L$2:$L$63)*(_xlfn.BYROW(_xlfn.HSTACK(N(data_mod!$Y$2:$Y$63=A27),N(data_mod!$AA$2:$AA$63=A27)),_xlfn.LAMBDA(_xlpm.row,SUM(_xlpm.row)))),(data_mod!$S$2:$S$63)*(_xlfn.BYROW(_xlfn.HSTACK(N(data_mod!$Z$2:$Z$63=A27),N(data_mod!$AB$2:$AB$63=A27)),_xlfn.LAMBDA(_xlpm.row,SUM(_xlpm.row)))))/C27</f>
        <v>1</v>
      </c>
      <c r="H27" s="28" cm="1">
        <f t="array" ref="H27">SUM((data_mod!$K$2:$K$63)*(_xlfn.BYROW(_xlfn.HSTACK(N(data_mod!$Y$2:$Y$63=A27),N(data_mod!$AA$2:$AA$63=A27)),_xlfn.LAMBDA(_xlpm.row,SUM(_xlpm.row)))),(data_mod!$R$2:$R$63)*(_xlfn.BYROW(_xlfn.HSTACK(N(data_mod!$Z$2:$Z$63=A27),N(data_mod!$AB$2:$AB$63=A27)),_xlfn.LAMBDA(_xlpm.row,SUM(_xlpm.row)))))/C27</f>
        <v>2</v>
      </c>
      <c r="I27" s="28" cm="1">
        <f t="array" ref="I27">SUM((data_mod!$R$2:$R$63)*(_xlfn.BYROW(_xlfn.HSTACK(N(data_mod!$Y$2:$Y$63=A27),N(data_mod!$AA$2:$AA$63=A27)),_xlfn.LAMBDA(_xlpm.row,SUM(_xlpm.row)))),(data_mod!$K$2:$K$63)*(_xlfn.BYROW(_xlfn.HSTACK(N(data_mod!$Z$2:$Z$63=A27),N(data_mod!$AB$2:$AB$63=A27)),_xlfn.LAMBDA(_xlpm.row,SUM(_xlpm.row)))))/C27</f>
        <v>1</v>
      </c>
      <c r="J27" s="35">
        <f t="shared" si="0"/>
        <v>0.5</v>
      </c>
      <c r="K27" s="30" cm="1">
        <f t="array" ref="K27">SUM((data_mod!$J$2:$J$63="attack")*(_xlfn.BYROW(_xlfn.HSTACK(N(data_mod!$Y$2:$Y$63=A27),N(data_mod!$AA$2:$AA$63=A27)),_xlfn.LAMBDA(_xlpm.row,SUM(_xlpm.row)))),(data_mod!$Q$2:$Q$63="attack")*(_xlfn.BYROW(_xlfn.HSTACK(N(data_mod!$Z$2:$Z$63=A27),N(data_mod!$AB$2:$AB$63=A27)),_xlfn.LAMBDA(_xlpm.row,SUM(_xlpm.row)))))/C27</f>
        <v>0</v>
      </c>
      <c r="L27" s="31" cm="1">
        <f t="array" ref="L27">SUM((data_mod!$J$2:$J$63="maneuver")*(_xlfn.BYROW(_xlfn.HSTACK(N(data_mod!$Y$2:$Y$63=A27),N(data_mod!$AA$2:$AA$63=A27)),_xlfn.LAMBDA(_xlpm.row,SUM(_xlpm.row)))),(data_mod!$Q$2:$Q$63="maneuver")*(_xlfn.BYROW(_xlfn.HSTACK(N(data_mod!$Z$2:$Z$63=A27),N(data_mod!$AB$2:$AB$63=A27)),_xlfn.LAMBDA(_xlpm.row,SUM(_xlpm.row)))))/C27</f>
        <v>1</v>
      </c>
      <c r="M27" s="32" cm="1">
        <f t="array" ref="M27">SUM((data_mod!$J$2:$J$63="defend")*(_xlfn.BYROW(_xlfn.HSTACK(N(data_mod!$Y$2:$Y$63=A27),N(data_mod!$AA$2:$AA$63=A27)),_xlfn.LAMBDA(_xlpm.row,SUM(_xlpm.row)))),(data_mod!$Q$2:$Q$63="defend")*(_xlfn.BYROW(_xlfn.HSTACK(N(data_mod!$Z$2:$Z$63=A27),N(data_mod!$AB$2:$AB$63=A27)),_xlfn.LAMBDA(_xlpm.row,SUM(_xlpm.row)))))/C27</f>
        <v>0</v>
      </c>
      <c r="N27" s="38" t="str" cm="1">
        <f t="array" ref="N27">IF(K27=0,"-",IF(($D27=0),0,SUM(N(data_mod!$F$2:$F$63="a")*(data_mod!$J$2:$J$63="attack")*(_xlfn.BYROW(_xlfn.HSTACK(N(data_mod!$Y$2:$Y$63=$A27),N(data_mod!$AA$2:$AA$63=$A27)),_xlfn.LAMBDA(_xlpm.row,SUM(_xlpm.row)))),N(data_mod!$F$2:$F$63="b")*(data_mod!$Q$2:$Q$63="attack")*(_xlfn.BYROW(_xlfn.HSTACK(N(data_mod!$Z$2:$Z$63=$A27),N(data_mod!$AB$2:$AB$63=$A27)),_xlfn.LAMBDA(_xlpm.row,SUM(_xlpm.row)))))/($C27*$K27)))</f>
        <v>-</v>
      </c>
      <c r="O27" s="39" cm="1">
        <f t="array" ref="O27">IF(L27=0,"-",IF(($L27=0),0,SUM(N(data_mod!$F$2:$F$63="a")*(data_mod!$J$2:$J$63="maneuver")*(_xlfn.BYROW(_xlfn.HSTACK(N(data_mod!$Y$2:$Y$63=$A27),N(data_mod!$AA$2:$AA$63=$A27)),_xlfn.LAMBDA(_xlpm.row,SUM(_xlpm.row)))),N(data_mod!$F$2:$F$63="b")*(data_mod!$Q$2:$Q$63="maneuver")*(_xlfn.BYROW(_xlfn.HSTACK(N(data_mod!$Z$2:$Z$63=$A27),N(data_mod!$AB$2:$AB$63=$A27)),_xlfn.LAMBDA(_xlpm.row,SUM(_xlpm.row)))))/($C27*$L27)))</f>
        <v>0</v>
      </c>
      <c r="P27" s="40" t="str" cm="1">
        <f t="array" ref="P27">IF(M27=0,"-",IF(($D27=0),0,SUM(N(data_mod!$F$2:$F$63="a")*(data_mod!$J$2:$J$63="defend")*(_xlfn.BYROW(_xlfn.HSTACK(N(data_mod!$Y$2:$Y$63=$A27),N(data_mod!$AA$2:$AA$63=$A27)),_xlfn.LAMBDA(_xlpm.row,SUM(_xlpm.row)))),N(data_mod!$F$2:$F$63="b")*(data_mod!$Q$2:$Q$63="defend")*(_xlfn.BYROW(_xlfn.HSTACK(N(data_mod!$Z$2:$Z$63=$A27),N(data_mod!$AB$2:$AB$63=$A27)),_xlfn.LAMBDA(_xlpm.row,SUM(_xlpm.row)))))/($C27*$M27)))</f>
        <v>-</v>
      </c>
      <c r="Q27" s="38" t="str" cm="1">
        <f t="array" ref="Q27">IF(SUM((data_mod!$M$2:$M$63="attacker")*(_xlfn.BYROW(_xlfn.HSTACK(N(data_mod!$Y$2:$Y$63=$A27),N(data_mod!$AA$2:$AA$63=$A27)),_xlfn.LAMBDA(_xlpm.row,SUM(_xlpm.row)))),(data_mod!$T$2:$T$63="attacker")*(_xlfn.BYROW(_xlfn.HSTACK(N(data_mod!$Z$2:$Z$63=$A27),N(data_mod!$AB$2:$AB$63=$A27)),_xlfn.LAMBDA(_xlpm.row,SUM(_xlpm.row)))))=0,"-",IF(($D27=0),0,SUM(N(data_mod!$F$2:$F$63="a")*(data_mod!$M$2:$M$63="attacker")*(_xlfn.BYROW(_xlfn.HSTACK(N(data_mod!$Y$2:$Y$63=$A27),N(data_mod!$AA$2:$AA$63=$A27)),_xlfn.LAMBDA(_xlpm.row,SUM(_xlpm.row)))),N(data_mod!$F$2:$F$63="b")*(data_mod!$T$2:$T$63="attacker")*(_xlfn.BYROW(_xlfn.HSTACK(N(data_mod!$Z$2:$Z$63=$A27),N(data_mod!$AB$2:$AB$63=$A27)),_xlfn.LAMBDA(_xlpm.row,SUM(_xlpm.row)))))/SUM((data_mod!$M$2:$M$63="attacker")*(_xlfn.BYROW(_xlfn.HSTACK(N(data_mod!$Y$2:$Y$63=$A27),N(data_mod!$AA$2:$AA$63=$A27)),_xlfn.LAMBDA(_xlpm.row,SUM(_xlpm.row)))),(data_mod!$T$2:$T$63="attacker")*(_xlfn.BYROW(_xlfn.HSTACK(N(data_mod!$Z$2:$Z$63=$A27),N(data_mod!$AB$2:$AB$63=$A27)),_xlfn.LAMBDA(_xlpm.row,SUM(_xlpm.row)))))))</f>
        <v>-</v>
      </c>
      <c r="R27" s="40" cm="1">
        <f t="array" ref="R27">IF(SUM((data_mod!$M$2:$M$63="defender")*(_xlfn.BYROW(_xlfn.HSTACK(N(data_mod!$Y$2:$Y$63=$A27),N(data_mod!$AA$2:$AA$63=$A27)),_xlfn.LAMBDA(_xlpm.row,SUM(_xlpm.row)))),(data_mod!$T$2:$T$63="defender")*(_xlfn.BYROW(_xlfn.HSTACK(N(data_mod!$Z$2:$Z$63=$A27),N(data_mod!$AB$2:$AB$63=$A27)),_xlfn.LAMBDA(_xlpm.row,SUM(_xlpm.row)))))=0,"-",IF(($D27=0),0,SUM(N(data_mod!$F$2:$F$63="a")*(data_mod!$M$2:$M$63="defender")*(_xlfn.BYROW(_xlfn.HSTACK(N(data_mod!$Y$2:$Y$63=$A27),N(data_mod!$AA$2:$AA$63=$A27)),_xlfn.LAMBDA(_xlpm.row,SUM(_xlpm.row)))),N(data_mod!$F$2:$F$63="b")*(data_mod!$T$2:$T$63="defender")*(_xlfn.BYROW(_xlfn.HSTACK(N(data_mod!$Z$2:$Z$63=$A27),N(data_mod!$AB$2:$AB$63=$A27)),_xlfn.LAMBDA(_xlpm.row,SUM(_xlpm.row)))))/SUM((data_mod!$M$2:$M$63="defender")*(_xlfn.BYROW(_xlfn.HSTACK(N(data_mod!$Y$2:$Y$63=$A27),N(data_mod!$AA$2:$AA$63=$A27)),_xlfn.LAMBDA(_xlpm.row,SUM(_xlpm.row)))),(data_mod!$T$2:$T$63="defender")*(_xlfn.BYROW(_xlfn.HSTACK(N(data_mod!$Z$2:$Z$63=$A27),N(data_mod!$AB$2:$AB$63=$A27)),_xlfn.LAMBDA(_xlpm.row,SUM(_xlpm.row)))))))</f>
        <v>0</v>
      </c>
    </row>
    <row r="28" spans="1:18" x14ac:dyDescent="0.25">
      <c r="A28" s="45" t="s">
        <v>143</v>
      </c>
      <c r="B28" s="1" cm="1">
        <f t="array" ref="B28">SUM(N(_xlfn.VSTACK('Player-Force'!$F$3:$F$28,'Player-Force'!$G$3:$G$28,'Player-Force'!$J$3:$J$28,'Player-Force'!$K$3:$K$28)=A28))</f>
        <v>1</v>
      </c>
      <c r="C28" s="18" cm="1">
        <f t="array" ref="C28">SUM(_xlfn.BYROW(_xlfn.HSTACK(N(data_mod!$Y$2:$Y$63=A28),N(data_mod!$AA$2:$AA$63=A28)),_xlfn.LAMBDA(_xlpm.row,SUM(_xlpm.row))),_xlfn.BYROW(_xlfn.HSTACK(N(data_mod!$Z$2:$Z$63=A28),N(data_mod!$AB$2:$AB$63=A28)),_xlfn.LAMBDA(_xlpm.row,SUM(_xlpm.row))))</f>
        <v>1</v>
      </c>
      <c r="D28" s="44" cm="1">
        <f t="array" ref="D28">SUM((data_mod!$F$2:$F$63="a")*(_xlfn.BYROW(_xlfn.HSTACK(N(data_mod!$Y$2:$Y$63=A28),N(data_mod!$AA$2:$AA$63=A28)),_xlfn.LAMBDA(_xlpm.row,SUM(_xlpm.row)))),(data_mod!$F$2:$F$63="b")*(_xlfn.BYROW(_xlfn.HSTACK(N(data_mod!$Z$2:$Z$63=A28),N(data_mod!$AB$2:$AB$63=A28)),_xlfn.LAMBDA(_xlpm.row,SUM(_xlpm.row)))))/C28</f>
        <v>1</v>
      </c>
      <c r="E28" s="31" cm="1">
        <f t="array" ref="E28">SUM((data_mod!$F$2:$F$63="b")*(_xlfn.BYROW(_xlfn.HSTACK(N(data_mod!$Y$2:$Y$63=A28),N(data_mod!$AA$2:$AA$63=A28)),_xlfn.LAMBDA(_xlpm.row,SUM(_xlpm.row)))),(data_mod!$F$2:$F$63="a")*(_xlfn.BYROW(_xlfn.HSTACK(N(data_mod!$Z$2:$Z$63=A28),N(data_mod!$AB$2:$AB$63=A28)),_xlfn.LAMBDA(_xlpm.row,SUM(_xlpm.row)))))/C28</f>
        <v>0</v>
      </c>
      <c r="F28" s="32" cm="1">
        <f t="array" ref="F28">SUM((data_mod!$F$2:$F$63="none")*(_xlfn.BYROW(_xlfn.HSTACK(N(data_mod!$Y$2:$Y$63=A28),N(data_mod!$AA$2:$AA$63=A28)),_xlfn.LAMBDA(_xlpm.row,SUM(_xlpm.row)))),(data_mod!$F$2:$F$63="none")*(_xlfn.BYROW(_xlfn.HSTACK(N(data_mod!$Z$2:$Z$63=A28),N(data_mod!$AB$2:$AB$63=A28)),_xlfn.LAMBDA(_xlpm.row,SUM(_xlpm.row)))))/C28</f>
        <v>0</v>
      </c>
      <c r="G28" s="34" cm="1">
        <f t="array" ref="G28">SUM((data_mod!$L$2:$L$63)*(_xlfn.BYROW(_xlfn.HSTACK(N(data_mod!$Y$2:$Y$63=A28),N(data_mod!$AA$2:$AA$63=A28)),_xlfn.LAMBDA(_xlpm.row,SUM(_xlpm.row)))),(data_mod!$S$2:$S$63)*(_xlfn.BYROW(_xlfn.HSTACK(N(data_mod!$Z$2:$Z$63=A28),N(data_mod!$AB$2:$AB$63=A28)),_xlfn.LAMBDA(_xlpm.row,SUM(_xlpm.row)))))/C28</f>
        <v>6</v>
      </c>
      <c r="H28" s="28" cm="1">
        <f t="array" ref="H28">SUM((data_mod!$K$2:$K$63)*(_xlfn.BYROW(_xlfn.HSTACK(N(data_mod!$Y$2:$Y$63=A28),N(data_mod!$AA$2:$AA$63=A28)),_xlfn.LAMBDA(_xlpm.row,SUM(_xlpm.row)))),(data_mod!$R$2:$R$63)*(_xlfn.BYROW(_xlfn.HSTACK(N(data_mod!$Z$2:$Z$63=A28),N(data_mod!$AB$2:$AB$63=A28)),_xlfn.LAMBDA(_xlpm.row,SUM(_xlpm.row)))))/C28</f>
        <v>3</v>
      </c>
      <c r="I28" s="28" cm="1">
        <f t="array" ref="I28">SUM((data_mod!$R$2:$R$63)*(_xlfn.BYROW(_xlfn.HSTACK(N(data_mod!$Y$2:$Y$63=A28),N(data_mod!$AA$2:$AA$63=A28)),_xlfn.LAMBDA(_xlpm.row,SUM(_xlpm.row)))),(data_mod!$K$2:$K$63)*(_xlfn.BYROW(_xlfn.HSTACK(N(data_mod!$Z$2:$Z$63=A28),N(data_mod!$AB$2:$AB$63=A28)),_xlfn.LAMBDA(_xlpm.row,SUM(_xlpm.row)))))/C28</f>
        <v>4</v>
      </c>
      <c r="J28" s="35">
        <f t="shared" si="0"/>
        <v>1.3333333333333333</v>
      </c>
      <c r="K28" s="30" cm="1">
        <f t="array" ref="K28">SUM((data_mod!$J$2:$J$63="attack")*(_xlfn.BYROW(_xlfn.HSTACK(N(data_mod!$Y$2:$Y$63=A28),N(data_mod!$AA$2:$AA$63=A28)),_xlfn.LAMBDA(_xlpm.row,SUM(_xlpm.row)))),(data_mod!$Q$2:$Q$63="attack")*(_xlfn.BYROW(_xlfn.HSTACK(N(data_mod!$Z$2:$Z$63=A28),N(data_mod!$AB$2:$AB$63=A28)),_xlfn.LAMBDA(_xlpm.row,SUM(_xlpm.row)))))/C28</f>
        <v>1</v>
      </c>
      <c r="L28" s="31" cm="1">
        <f t="array" ref="L28">SUM((data_mod!$J$2:$J$63="maneuver")*(_xlfn.BYROW(_xlfn.HSTACK(N(data_mod!$Y$2:$Y$63=A28),N(data_mod!$AA$2:$AA$63=A28)),_xlfn.LAMBDA(_xlpm.row,SUM(_xlpm.row)))),(data_mod!$Q$2:$Q$63="maneuver")*(_xlfn.BYROW(_xlfn.HSTACK(N(data_mod!$Z$2:$Z$63=A28),N(data_mod!$AB$2:$AB$63=A28)),_xlfn.LAMBDA(_xlpm.row,SUM(_xlpm.row)))))/C28</f>
        <v>0</v>
      </c>
      <c r="M28" s="32" cm="1">
        <f t="array" ref="M28">SUM((data_mod!$J$2:$J$63="defend")*(_xlfn.BYROW(_xlfn.HSTACK(N(data_mod!$Y$2:$Y$63=A28),N(data_mod!$AA$2:$AA$63=A28)),_xlfn.LAMBDA(_xlpm.row,SUM(_xlpm.row)))),(data_mod!$Q$2:$Q$63="defend")*(_xlfn.BYROW(_xlfn.HSTACK(N(data_mod!$Z$2:$Z$63=A28),N(data_mod!$AB$2:$AB$63=A28)),_xlfn.LAMBDA(_xlpm.row,SUM(_xlpm.row)))))/C28</f>
        <v>0</v>
      </c>
      <c r="N28" s="38" cm="1">
        <f t="array" ref="N28">IF(K28=0,"-",IF(($D28=0),0,SUM(N(data_mod!$F$2:$F$63="a")*(data_mod!$J$2:$J$63="attack")*(_xlfn.BYROW(_xlfn.HSTACK(N(data_mod!$Y$2:$Y$63=$A28),N(data_mod!$AA$2:$AA$63=$A28)),_xlfn.LAMBDA(_xlpm.row,SUM(_xlpm.row)))),N(data_mod!$F$2:$F$63="b")*(data_mod!$Q$2:$Q$63="attack")*(_xlfn.BYROW(_xlfn.HSTACK(N(data_mod!$Z$2:$Z$63=$A28),N(data_mod!$AB$2:$AB$63=$A28)),_xlfn.LAMBDA(_xlpm.row,SUM(_xlpm.row)))))/($C28*$K28)))</f>
        <v>1</v>
      </c>
      <c r="O28" s="39" t="str" cm="1">
        <f t="array" ref="O28">IF(L28=0,"-",IF(($L28=0),0,SUM(N(data_mod!$F$2:$F$63="a")*(data_mod!$J$2:$J$63="maneuver")*(_xlfn.BYROW(_xlfn.HSTACK(N(data_mod!$Y$2:$Y$63=$A28),N(data_mod!$AA$2:$AA$63=$A28)),_xlfn.LAMBDA(_xlpm.row,SUM(_xlpm.row)))),N(data_mod!$F$2:$F$63="b")*(data_mod!$Q$2:$Q$63="maneuver")*(_xlfn.BYROW(_xlfn.HSTACK(N(data_mod!$Z$2:$Z$63=$A28),N(data_mod!$AB$2:$AB$63=$A28)),_xlfn.LAMBDA(_xlpm.row,SUM(_xlpm.row)))))/($C28*$L28)))</f>
        <v>-</v>
      </c>
      <c r="P28" s="40" t="str" cm="1">
        <f t="array" ref="P28">IF(M28=0,"-",IF(($D28=0),0,SUM(N(data_mod!$F$2:$F$63="a")*(data_mod!$J$2:$J$63="defend")*(_xlfn.BYROW(_xlfn.HSTACK(N(data_mod!$Y$2:$Y$63=$A28),N(data_mod!$AA$2:$AA$63=$A28)),_xlfn.LAMBDA(_xlpm.row,SUM(_xlpm.row)))),N(data_mod!$F$2:$F$63="b")*(data_mod!$Q$2:$Q$63="defend")*(_xlfn.BYROW(_xlfn.HSTACK(N(data_mod!$Z$2:$Z$63=$A28),N(data_mod!$AB$2:$AB$63=$A28)),_xlfn.LAMBDA(_xlpm.row,SUM(_xlpm.row)))))/($C28*$M28)))</f>
        <v>-</v>
      </c>
      <c r="Q28" s="38" t="str" cm="1">
        <f t="array" ref="Q28">IF(SUM((data_mod!$M$2:$M$63="attacker")*(_xlfn.BYROW(_xlfn.HSTACK(N(data_mod!$Y$2:$Y$63=$A28),N(data_mod!$AA$2:$AA$63=$A28)),_xlfn.LAMBDA(_xlpm.row,SUM(_xlpm.row)))),(data_mod!$T$2:$T$63="attacker")*(_xlfn.BYROW(_xlfn.HSTACK(N(data_mod!$Z$2:$Z$63=$A28),N(data_mod!$AB$2:$AB$63=$A28)),_xlfn.LAMBDA(_xlpm.row,SUM(_xlpm.row)))))=0,"-",IF(($D28=0),0,SUM(N(data_mod!$F$2:$F$63="a")*(data_mod!$M$2:$M$63="attacker")*(_xlfn.BYROW(_xlfn.HSTACK(N(data_mod!$Y$2:$Y$63=$A28),N(data_mod!$AA$2:$AA$63=$A28)),_xlfn.LAMBDA(_xlpm.row,SUM(_xlpm.row)))),N(data_mod!$F$2:$F$63="b")*(data_mod!$T$2:$T$63="attacker")*(_xlfn.BYROW(_xlfn.HSTACK(N(data_mod!$Z$2:$Z$63=$A28),N(data_mod!$AB$2:$AB$63=$A28)),_xlfn.LAMBDA(_xlpm.row,SUM(_xlpm.row)))))/SUM((data_mod!$M$2:$M$63="attacker")*(_xlfn.BYROW(_xlfn.HSTACK(N(data_mod!$Y$2:$Y$63=$A28),N(data_mod!$AA$2:$AA$63=$A28)),_xlfn.LAMBDA(_xlpm.row,SUM(_xlpm.row)))),(data_mod!$T$2:$T$63="attacker")*(_xlfn.BYROW(_xlfn.HSTACK(N(data_mod!$Z$2:$Z$63=$A28),N(data_mod!$AB$2:$AB$63=$A28)),_xlfn.LAMBDA(_xlpm.row,SUM(_xlpm.row)))))))</f>
        <v>-</v>
      </c>
      <c r="R28" s="40" cm="1">
        <f t="array" ref="R28">IF(SUM((data_mod!$M$2:$M$63="defender")*(_xlfn.BYROW(_xlfn.HSTACK(N(data_mod!$Y$2:$Y$63=$A28),N(data_mod!$AA$2:$AA$63=$A28)),_xlfn.LAMBDA(_xlpm.row,SUM(_xlpm.row)))),(data_mod!$T$2:$T$63="defender")*(_xlfn.BYROW(_xlfn.HSTACK(N(data_mod!$Z$2:$Z$63=$A28),N(data_mod!$AB$2:$AB$63=$A28)),_xlfn.LAMBDA(_xlpm.row,SUM(_xlpm.row)))))=0,"-",IF(($D28=0),0,SUM(N(data_mod!$F$2:$F$63="a")*(data_mod!$M$2:$M$63="defender")*(_xlfn.BYROW(_xlfn.HSTACK(N(data_mod!$Y$2:$Y$63=$A28),N(data_mod!$AA$2:$AA$63=$A28)),_xlfn.LAMBDA(_xlpm.row,SUM(_xlpm.row)))),N(data_mod!$F$2:$F$63="b")*(data_mod!$T$2:$T$63="defender")*(_xlfn.BYROW(_xlfn.HSTACK(N(data_mod!$Z$2:$Z$63=$A28),N(data_mod!$AB$2:$AB$63=$A28)),_xlfn.LAMBDA(_xlpm.row,SUM(_xlpm.row)))))/SUM((data_mod!$M$2:$M$63="defender")*(_xlfn.BYROW(_xlfn.HSTACK(N(data_mod!$Y$2:$Y$63=$A28),N(data_mod!$AA$2:$AA$63=$A28)),_xlfn.LAMBDA(_xlpm.row,SUM(_xlpm.row)))),(data_mod!$T$2:$T$63="defender")*(_xlfn.BYROW(_xlfn.HSTACK(N(data_mod!$Z$2:$Z$63=$A28),N(data_mod!$AB$2:$AB$63=$A28)),_xlfn.LAMBDA(_xlpm.row,SUM(_xlpm.row)))))))</f>
        <v>1</v>
      </c>
    </row>
    <row r="29" spans="1:18" x14ac:dyDescent="0.25">
      <c r="A29" s="45" t="s">
        <v>155</v>
      </c>
      <c r="B29" s="1" cm="1">
        <f t="array" ref="B29">SUM(N(_xlfn.VSTACK('Player-Force'!$F$3:$F$28,'Player-Force'!$G$3:$G$28,'Player-Force'!$J$3:$J$28,'Player-Force'!$K$3:$K$28)=A29))</f>
        <v>1</v>
      </c>
      <c r="C29" s="18" cm="1">
        <f t="array" ref="C29">SUM(_xlfn.BYROW(_xlfn.HSTACK(N(data_mod!$Y$2:$Y$63=A29),N(data_mod!$AA$2:$AA$63=A29)),_xlfn.LAMBDA(_xlpm.row,SUM(_xlpm.row))),_xlfn.BYROW(_xlfn.HSTACK(N(data_mod!$Z$2:$Z$63=A29),N(data_mod!$AB$2:$AB$63=A29)),_xlfn.LAMBDA(_xlpm.row,SUM(_xlpm.row))))</f>
        <v>1</v>
      </c>
      <c r="D29" s="44" cm="1">
        <f t="array" ref="D29">SUM((data_mod!$F$2:$F$63="a")*(_xlfn.BYROW(_xlfn.HSTACK(N(data_mod!$Y$2:$Y$63=A29),N(data_mod!$AA$2:$AA$63=A29)),_xlfn.LAMBDA(_xlpm.row,SUM(_xlpm.row)))),(data_mod!$F$2:$F$63="b")*(_xlfn.BYROW(_xlfn.HSTACK(N(data_mod!$Z$2:$Z$63=A29),N(data_mod!$AB$2:$AB$63=A29)),_xlfn.LAMBDA(_xlpm.row,SUM(_xlpm.row)))))/C29</f>
        <v>1</v>
      </c>
      <c r="E29" s="31" cm="1">
        <f t="array" ref="E29">SUM((data_mod!$F$2:$F$63="b")*(_xlfn.BYROW(_xlfn.HSTACK(N(data_mod!$Y$2:$Y$63=A29),N(data_mod!$AA$2:$AA$63=A29)),_xlfn.LAMBDA(_xlpm.row,SUM(_xlpm.row)))),(data_mod!$F$2:$F$63="a")*(_xlfn.BYROW(_xlfn.HSTACK(N(data_mod!$Z$2:$Z$63=A29),N(data_mod!$AB$2:$AB$63=A29)),_xlfn.LAMBDA(_xlpm.row,SUM(_xlpm.row)))))/C29</f>
        <v>0</v>
      </c>
      <c r="F29" s="32" cm="1">
        <f t="array" ref="F29">SUM((data_mod!$F$2:$F$63="none")*(_xlfn.BYROW(_xlfn.HSTACK(N(data_mod!$Y$2:$Y$63=A29),N(data_mod!$AA$2:$AA$63=A29)),_xlfn.LAMBDA(_xlpm.row,SUM(_xlpm.row)))),(data_mod!$F$2:$F$63="none")*(_xlfn.BYROW(_xlfn.HSTACK(N(data_mod!$Z$2:$Z$63=A29),N(data_mod!$AB$2:$AB$63=A29)),_xlfn.LAMBDA(_xlpm.row,SUM(_xlpm.row)))))/C29</f>
        <v>0</v>
      </c>
      <c r="G29" s="34" cm="1">
        <f t="array" ref="G29">SUM((data_mod!$L$2:$L$63)*(_xlfn.BYROW(_xlfn.HSTACK(N(data_mod!$Y$2:$Y$63=A29),N(data_mod!$AA$2:$AA$63=A29)),_xlfn.LAMBDA(_xlpm.row,SUM(_xlpm.row)))),(data_mod!$S$2:$S$63)*(_xlfn.BYROW(_xlfn.HSTACK(N(data_mod!$Z$2:$Z$63=A29),N(data_mod!$AB$2:$AB$63=A29)),_xlfn.LAMBDA(_xlpm.row,SUM(_xlpm.row)))))/C29</f>
        <v>6</v>
      </c>
      <c r="H29" s="28" cm="1">
        <f t="array" ref="H29">SUM((data_mod!$K$2:$K$63)*(_xlfn.BYROW(_xlfn.HSTACK(N(data_mod!$Y$2:$Y$63=A29),N(data_mod!$AA$2:$AA$63=A29)),_xlfn.LAMBDA(_xlpm.row,SUM(_xlpm.row)))),(data_mod!$R$2:$R$63)*(_xlfn.BYROW(_xlfn.HSTACK(N(data_mod!$Z$2:$Z$63=A29),N(data_mod!$AB$2:$AB$63=A29)),_xlfn.LAMBDA(_xlpm.row,SUM(_xlpm.row)))))/C29</f>
        <v>3</v>
      </c>
      <c r="I29" s="28" cm="1">
        <f t="array" ref="I29">SUM((data_mod!$R$2:$R$63)*(_xlfn.BYROW(_xlfn.HSTACK(N(data_mod!$Y$2:$Y$63=A29),N(data_mod!$AA$2:$AA$63=A29)),_xlfn.LAMBDA(_xlpm.row,SUM(_xlpm.row)))),(data_mod!$K$2:$K$63)*(_xlfn.BYROW(_xlfn.HSTACK(N(data_mod!$Z$2:$Z$63=A29),N(data_mod!$AB$2:$AB$63=A29)),_xlfn.LAMBDA(_xlpm.row,SUM(_xlpm.row)))))/C29</f>
        <v>3</v>
      </c>
      <c r="J29" s="35">
        <f t="shared" si="0"/>
        <v>1</v>
      </c>
      <c r="K29" s="30" cm="1">
        <f t="array" ref="K29">SUM((data_mod!$J$2:$J$63="attack")*(_xlfn.BYROW(_xlfn.HSTACK(N(data_mod!$Y$2:$Y$63=A29),N(data_mod!$AA$2:$AA$63=A29)),_xlfn.LAMBDA(_xlpm.row,SUM(_xlpm.row)))),(data_mod!$Q$2:$Q$63="attack")*(_xlfn.BYROW(_xlfn.HSTACK(N(data_mod!$Z$2:$Z$63=A29),N(data_mod!$AB$2:$AB$63=A29)),_xlfn.LAMBDA(_xlpm.row,SUM(_xlpm.row)))))/C29</f>
        <v>0</v>
      </c>
      <c r="L29" s="31" cm="1">
        <f t="array" ref="L29">SUM((data_mod!$J$2:$J$63="maneuver")*(_xlfn.BYROW(_xlfn.HSTACK(N(data_mod!$Y$2:$Y$63=A29),N(data_mod!$AA$2:$AA$63=A29)),_xlfn.LAMBDA(_xlpm.row,SUM(_xlpm.row)))),(data_mod!$Q$2:$Q$63="maneuver")*(_xlfn.BYROW(_xlfn.HSTACK(N(data_mod!$Z$2:$Z$63=A29),N(data_mod!$AB$2:$AB$63=A29)),_xlfn.LAMBDA(_xlpm.row,SUM(_xlpm.row)))))/C29</f>
        <v>0</v>
      </c>
      <c r="M29" s="32" cm="1">
        <f t="array" ref="M29">SUM((data_mod!$J$2:$J$63="defend")*(_xlfn.BYROW(_xlfn.HSTACK(N(data_mod!$Y$2:$Y$63=A29),N(data_mod!$AA$2:$AA$63=A29)),_xlfn.LAMBDA(_xlpm.row,SUM(_xlpm.row)))),(data_mod!$Q$2:$Q$63="defend")*(_xlfn.BYROW(_xlfn.HSTACK(N(data_mod!$Z$2:$Z$63=A29),N(data_mod!$AB$2:$AB$63=A29)),_xlfn.LAMBDA(_xlpm.row,SUM(_xlpm.row)))))/C29</f>
        <v>1</v>
      </c>
      <c r="N29" s="38" t="str" cm="1">
        <f t="array" ref="N29">IF(K29=0,"-",IF(($D29=0),0,SUM(N(data_mod!$F$2:$F$63="a")*(data_mod!$J$2:$J$63="attack")*(_xlfn.BYROW(_xlfn.HSTACK(N(data_mod!$Y$2:$Y$63=$A29),N(data_mod!$AA$2:$AA$63=$A29)),_xlfn.LAMBDA(_xlpm.row,SUM(_xlpm.row)))),N(data_mod!$F$2:$F$63="b")*(data_mod!$Q$2:$Q$63="attack")*(_xlfn.BYROW(_xlfn.HSTACK(N(data_mod!$Z$2:$Z$63=$A29),N(data_mod!$AB$2:$AB$63=$A29)),_xlfn.LAMBDA(_xlpm.row,SUM(_xlpm.row)))))/($C29*$K29)))</f>
        <v>-</v>
      </c>
      <c r="O29" s="39" t="str" cm="1">
        <f t="array" ref="O29">IF(L29=0,"-",IF(($L29=0),0,SUM(N(data_mod!$F$2:$F$63="a")*(data_mod!$J$2:$J$63="maneuver")*(_xlfn.BYROW(_xlfn.HSTACK(N(data_mod!$Y$2:$Y$63=$A29),N(data_mod!$AA$2:$AA$63=$A29)),_xlfn.LAMBDA(_xlpm.row,SUM(_xlpm.row)))),N(data_mod!$F$2:$F$63="b")*(data_mod!$Q$2:$Q$63="maneuver")*(_xlfn.BYROW(_xlfn.HSTACK(N(data_mod!$Z$2:$Z$63=$A29),N(data_mod!$AB$2:$AB$63=$A29)),_xlfn.LAMBDA(_xlpm.row,SUM(_xlpm.row)))))/($C29*$L29)))</f>
        <v>-</v>
      </c>
      <c r="P29" s="40" cm="1">
        <f t="array" ref="P29">IF(M29=0,"-",IF(($D29=0),0,SUM(N(data_mod!$F$2:$F$63="a")*(data_mod!$J$2:$J$63="defend")*(_xlfn.BYROW(_xlfn.HSTACK(N(data_mod!$Y$2:$Y$63=$A29),N(data_mod!$AA$2:$AA$63=$A29)),_xlfn.LAMBDA(_xlpm.row,SUM(_xlpm.row)))),N(data_mod!$F$2:$F$63="b")*(data_mod!$Q$2:$Q$63="defend")*(_xlfn.BYROW(_xlfn.HSTACK(N(data_mod!$Z$2:$Z$63=$A29),N(data_mod!$AB$2:$AB$63=$A29)),_xlfn.LAMBDA(_xlpm.row,SUM(_xlpm.row)))))/($C29*$M29)))</f>
        <v>1</v>
      </c>
      <c r="Q29" s="38" t="str" cm="1">
        <f t="array" ref="Q29">IF(SUM((data_mod!$M$2:$M$63="attacker")*(_xlfn.BYROW(_xlfn.HSTACK(N(data_mod!$Y$2:$Y$63=$A29),N(data_mod!$AA$2:$AA$63=$A29)),_xlfn.LAMBDA(_xlpm.row,SUM(_xlpm.row)))),(data_mod!$T$2:$T$63="attacker")*(_xlfn.BYROW(_xlfn.HSTACK(N(data_mod!$Z$2:$Z$63=$A29),N(data_mod!$AB$2:$AB$63=$A29)),_xlfn.LAMBDA(_xlpm.row,SUM(_xlpm.row)))))=0,"-",IF(($D29=0),0,SUM(N(data_mod!$F$2:$F$63="a")*(data_mod!$M$2:$M$63="attacker")*(_xlfn.BYROW(_xlfn.HSTACK(N(data_mod!$Y$2:$Y$63=$A29),N(data_mod!$AA$2:$AA$63=$A29)),_xlfn.LAMBDA(_xlpm.row,SUM(_xlpm.row)))),N(data_mod!$F$2:$F$63="b")*(data_mod!$T$2:$T$63="attacker")*(_xlfn.BYROW(_xlfn.HSTACK(N(data_mod!$Z$2:$Z$63=$A29),N(data_mod!$AB$2:$AB$63=$A29)),_xlfn.LAMBDA(_xlpm.row,SUM(_xlpm.row)))))/SUM((data_mod!$M$2:$M$63="attacker")*(_xlfn.BYROW(_xlfn.HSTACK(N(data_mod!$Y$2:$Y$63=$A29),N(data_mod!$AA$2:$AA$63=$A29)),_xlfn.LAMBDA(_xlpm.row,SUM(_xlpm.row)))),(data_mod!$T$2:$T$63="attacker")*(_xlfn.BYROW(_xlfn.HSTACK(N(data_mod!$Z$2:$Z$63=$A29),N(data_mod!$AB$2:$AB$63=$A29)),_xlfn.LAMBDA(_xlpm.row,SUM(_xlpm.row)))))))</f>
        <v>-</v>
      </c>
      <c r="R29" s="40" cm="1">
        <f t="array" ref="R29">IF(SUM((data_mod!$M$2:$M$63="defender")*(_xlfn.BYROW(_xlfn.HSTACK(N(data_mod!$Y$2:$Y$63=$A29),N(data_mod!$AA$2:$AA$63=$A29)),_xlfn.LAMBDA(_xlpm.row,SUM(_xlpm.row)))),(data_mod!$T$2:$T$63="defender")*(_xlfn.BYROW(_xlfn.HSTACK(N(data_mod!$Z$2:$Z$63=$A29),N(data_mod!$AB$2:$AB$63=$A29)),_xlfn.LAMBDA(_xlpm.row,SUM(_xlpm.row)))))=0,"-",IF(($D29=0),0,SUM(N(data_mod!$F$2:$F$63="a")*(data_mod!$M$2:$M$63="defender")*(_xlfn.BYROW(_xlfn.HSTACK(N(data_mod!$Y$2:$Y$63=$A29),N(data_mod!$AA$2:$AA$63=$A29)),_xlfn.LAMBDA(_xlpm.row,SUM(_xlpm.row)))),N(data_mod!$F$2:$F$63="b")*(data_mod!$T$2:$T$63="defender")*(_xlfn.BYROW(_xlfn.HSTACK(N(data_mod!$Z$2:$Z$63=$A29),N(data_mod!$AB$2:$AB$63=$A29)),_xlfn.LAMBDA(_xlpm.row,SUM(_xlpm.row)))))/SUM((data_mod!$M$2:$M$63="defender")*(_xlfn.BYROW(_xlfn.HSTACK(N(data_mod!$Y$2:$Y$63=$A29),N(data_mod!$AA$2:$AA$63=$A29)),_xlfn.LAMBDA(_xlpm.row,SUM(_xlpm.row)))),(data_mod!$T$2:$T$63="defender")*(_xlfn.BYROW(_xlfn.HSTACK(N(data_mod!$Z$2:$Z$63=$A29),N(data_mod!$AB$2:$AB$63=$A29)),_xlfn.LAMBDA(_xlpm.row,SUM(_xlpm.row)))))))</f>
        <v>1</v>
      </c>
    </row>
    <row r="30" spans="1:18" x14ac:dyDescent="0.25">
      <c r="A30" s="45" t="s">
        <v>157</v>
      </c>
      <c r="B30" s="1" cm="1">
        <f t="array" ref="B30">SUM(N(_xlfn.VSTACK('Player-Force'!$F$3:$F$28,'Player-Force'!$G$3:$G$28,'Player-Force'!$J$3:$J$28,'Player-Force'!$K$3:$K$28)=A30))</f>
        <v>1</v>
      </c>
      <c r="C30" s="18" cm="1">
        <f t="array" ref="C30">SUM(_xlfn.BYROW(_xlfn.HSTACK(N(data_mod!$Y$2:$Y$63=A30),N(data_mod!$AA$2:$AA$63=A30)),_xlfn.LAMBDA(_xlpm.row,SUM(_xlpm.row))),_xlfn.BYROW(_xlfn.HSTACK(N(data_mod!$Z$2:$Z$63=A30),N(data_mod!$AB$2:$AB$63=A30)),_xlfn.LAMBDA(_xlpm.row,SUM(_xlpm.row))))</f>
        <v>1</v>
      </c>
      <c r="D30" s="44" cm="1">
        <f t="array" ref="D30">SUM((data_mod!$F$2:$F$63="a")*(_xlfn.BYROW(_xlfn.HSTACK(N(data_mod!$Y$2:$Y$63=A30),N(data_mod!$AA$2:$AA$63=A30)),_xlfn.LAMBDA(_xlpm.row,SUM(_xlpm.row)))),(data_mod!$F$2:$F$63="b")*(_xlfn.BYROW(_xlfn.HSTACK(N(data_mod!$Z$2:$Z$63=A30),N(data_mod!$AB$2:$AB$63=A30)),_xlfn.LAMBDA(_xlpm.row,SUM(_xlpm.row)))))/C30</f>
        <v>1</v>
      </c>
      <c r="E30" s="31" cm="1">
        <f t="array" ref="E30">SUM((data_mod!$F$2:$F$63="b")*(_xlfn.BYROW(_xlfn.HSTACK(N(data_mod!$Y$2:$Y$63=A30),N(data_mod!$AA$2:$AA$63=A30)),_xlfn.LAMBDA(_xlpm.row,SUM(_xlpm.row)))),(data_mod!$F$2:$F$63="a")*(_xlfn.BYROW(_xlfn.HSTACK(N(data_mod!$Z$2:$Z$63=A30),N(data_mod!$AB$2:$AB$63=A30)),_xlfn.LAMBDA(_xlpm.row,SUM(_xlpm.row)))))/C30</f>
        <v>0</v>
      </c>
      <c r="F30" s="32" cm="1">
        <f t="array" ref="F30">SUM((data_mod!$F$2:$F$63="none")*(_xlfn.BYROW(_xlfn.HSTACK(N(data_mod!$Y$2:$Y$63=A30),N(data_mod!$AA$2:$AA$63=A30)),_xlfn.LAMBDA(_xlpm.row,SUM(_xlpm.row)))),(data_mod!$F$2:$F$63="none")*(_xlfn.BYROW(_xlfn.HSTACK(N(data_mod!$Z$2:$Z$63=A30),N(data_mod!$AB$2:$AB$63=A30)),_xlfn.LAMBDA(_xlpm.row,SUM(_xlpm.row)))))/C30</f>
        <v>0</v>
      </c>
      <c r="G30" s="34" cm="1">
        <f t="array" ref="G30">SUM((data_mod!$L$2:$L$63)*(_xlfn.BYROW(_xlfn.HSTACK(N(data_mod!$Y$2:$Y$63=A30),N(data_mod!$AA$2:$AA$63=A30)),_xlfn.LAMBDA(_xlpm.row,SUM(_xlpm.row)))),(data_mod!$S$2:$S$63)*(_xlfn.BYROW(_xlfn.HSTACK(N(data_mod!$Z$2:$Z$63=A30),N(data_mod!$AB$2:$AB$63=A30)),_xlfn.LAMBDA(_xlpm.row,SUM(_xlpm.row)))))/C30</f>
        <v>8</v>
      </c>
      <c r="H30" s="28" cm="1">
        <f t="array" ref="H30">SUM((data_mod!$K$2:$K$63)*(_xlfn.BYROW(_xlfn.HSTACK(N(data_mod!$Y$2:$Y$63=A30),N(data_mod!$AA$2:$AA$63=A30)),_xlfn.LAMBDA(_xlpm.row,SUM(_xlpm.row)))),(data_mod!$R$2:$R$63)*(_xlfn.BYROW(_xlfn.HSTACK(N(data_mod!$Z$2:$Z$63=A30),N(data_mod!$AB$2:$AB$63=A30)),_xlfn.LAMBDA(_xlpm.row,SUM(_xlpm.row)))))/C30</f>
        <v>1</v>
      </c>
      <c r="I30" s="28" cm="1">
        <f t="array" ref="I30">SUM((data_mod!$R$2:$R$63)*(_xlfn.BYROW(_xlfn.HSTACK(N(data_mod!$Y$2:$Y$63=A30),N(data_mod!$AA$2:$AA$63=A30)),_xlfn.LAMBDA(_xlpm.row,SUM(_xlpm.row)))),(data_mod!$K$2:$K$63)*(_xlfn.BYROW(_xlfn.HSTACK(N(data_mod!$Z$2:$Z$63=A30),N(data_mod!$AB$2:$AB$63=A30)),_xlfn.LAMBDA(_xlpm.row,SUM(_xlpm.row)))))/C30</f>
        <v>4</v>
      </c>
      <c r="J30" s="35">
        <f t="shared" si="0"/>
        <v>4</v>
      </c>
      <c r="K30" s="30" cm="1">
        <f t="array" ref="K30">SUM((data_mod!$J$2:$J$63="attack")*(_xlfn.BYROW(_xlfn.HSTACK(N(data_mod!$Y$2:$Y$63=A30),N(data_mod!$AA$2:$AA$63=A30)),_xlfn.LAMBDA(_xlpm.row,SUM(_xlpm.row)))),(data_mod!$Q$2:$Q$63="attack")*(_xlfn.BYROW(_xlfn.HSTACK(N(data_mod!$Z$2:$Z$63=A30),N(data_mod!$AB$2:$AB$63=A30)),_xlfn.LAMBDA(_xlpm.row,SUM(_xlpm.row)))))/C30</f>
        <v>0</v>
      </c>
      <c r="L30" s="31" cm="1">
        <f t="array" ref="L30">SUM((data_mod!$J$2:$J$63="maneuver")*(_xlfn.BYROW(_xlfn.HSTACK(N(data_mod!$Y$2:$Y$63=A30),N(data_mod!$AA$2:$AA$63=A30)),_xlfn.LAMBDA(_xlpm.row,SUM(_xlpm.row)))),(data_mod!$Q$2:$Q$63="maneuver")*(_xlfn.BYROW(_xlfn.HSTACK(N(data_mod!$Z$2:$Z$63=A30),N(data_mod!$AB$2:$AB$63=A30)),_xlfn.LAMBDA(_xlpm.row,SUM(_xlpm.row)))))/C30</f>
        <v>0</v>
      </c>
      <c r="M30" s="32" cm="1">
        <f t="array" ref="M30">SUM((data_mod!$J$2:$J$63="defend")*(_xlfn.BYROW(_xlfn.HSTACK(N(data_mod!$Y$2:$Y$63=A30),N(data_mod!$AA$2:$AA$63=A30)),_xlfn.LAMBDA(_xlpm.row,SUM(_xlpm.row)))),(data_mod!$Q$2:$Q$63="defend")*(_xlfn.BYROW(_xlfn.HSTACK(N(data_mod!$Z$2:$Z$63=A30),N(data_mod!$AB$2:$AB$63=A30)),_xlfn.LAMBDA(_xlpm.row,SUM(_xlpm.row)))))/C30</f>
        <v>1</v>
      </c>
      <c r="N30" s="38" t="str" cm="1">
        <f t="array" ref="N30">IF(K30=0,"-",IF(($D30=0),0,SUM(N(data_mod!$F$2:$F$63="a")*(data_mod!$J$2:$J$63="attack")*(_xlfn.BYROW(_xlfn.HSTACK(N(data_mod!$Y$2:$Y$63=$A30),N(data_mod!$AA$2:$AA$63=$A30)),_xlfn.LAMBDA(_xlpm.row,SUM(_xlpm.row)))),N(data_mod!$F$2:$F$63="b")*(data_mod!$Q$2:$Q$63="attack")*(_xlfn.BYROW(_xlfn.HSTACK(N(data_mod!$Z$2:$Z$63=$A30),N(data_mod!$AB$2:$AB$63=$A30)),_xlfn.LAMBDA(_xlpm.row,SUM(_xlpm.row)))))/($C30*$K30)))</f>
        <v>-</v>
      </c>
      <c r="O30" s="39" t="str" cm="1">
        <f t="array" ref="O30">IF(L30=0,"-",IF(($L30=0),0,SUM(N(data_mod!$F$2:$F$63="a")*(data_mod!$J$2:$J$63="maneuver")*(_xlfn.BYROW(_xlfn.HSTACK(N(data_mod!$Y$2:$Y$63=$A30),N(data_mod!$AA$2:$AA$63=$A30)),_xlfn.LAMBDA(_xlpm.row,SUM(_xlpm.row)))),N(data_mod!$F$2:$F$63="b")*(data_mod!$Q$2:$Q$63="maneuver")*(_xlfn.BYROW(_xlfn.HSTACK(N(data_mod!$Z$2:$Z$63=$A30),N(data_mod!$AB$2:$AB$63=$A30)),_xlfn.LAMBDA(_xlpm.row,SUM(_xlpm.row)))))/($C30*$L30)))</f>
        <v>-</v>
      </c>
      <c r="P30" s="40" cm="1">
        <f t="array" ref="P30">IF(M30=0,"-",IF(($D30=0),0,SUM(N(data_mod!$F$2:$F$63="a")*(data_mod!$J$2:$J$63="defend")*(_xlfn.BYROW(_xlfn.HSTACK(N(data_mod!$Y$2:$Y$63=$A30),N(data_mod!$AA$2:$AA$63=$A30)),_xlfn.LAMBDA(_xlpm.row,SUM(_xlpm.row)))),N(data_mod!$F$2:$F$63="b")*(data_mod!$Q$2:$Q$63="defend")*(_xlfn.BYROW(_xlfn.HSTACK(N(data_mod!$Z$2:$Z$63=$A30),N(data_mod!$AB$2:$AB$63=$A30)),_xlfn.LAMBDA(_xlpm.row,SUM(_xlpm.row)))))/($C30*$M30)))</f>
        <v>1</v>
      </c>
      <c r="Q30" s="38" t="str" cm="1">
        <f t="array" ref="Q30">IF(SUM((data_mod!$M$2:$M$63="attacker")*(_xlfn.BYROW(_xlfn.HSTACK(N(data_mod!$Y$2:$Y$63=$A30),N(data_mod!$AA$2:$AA$63=$A30)),_xlfn.LAMBDA(_xlpm.row,SUM(_xlpm.row)))),(data_mod!$T$2:$T$63="attacker")*(_xlfn.BYROW(_xlfn.HSTACK(N(data_mod!$Z$2:$Z$63=$A30),N(data_mod!$AB$2:$AB$63=$A30)),_xlfn.LAMBDA(_xlpm.row,SUM(_xlpm.row)))))=0,"-",IF(($D30=0),0,SUM(N(data_mod!$F$2:$F$63="a")*(data_mod!$M$2:$M$63="attacker")*(_xlfn.BYROW(_xlfn.HSTACK(N(data_mod!$Y$2:$Y$63=$A30),N(data_mod!$AA$2:$AA$63=$A30)),_xlfn.LAMBDA(_xlpm.row,SUM(_xlpm.row)))),N(data_mod!$F$2:$F$63="b")*(data_mod!$T$2:$T$63="attacker")*(_xlfn.BYROW(_xlfn.HSTACK(N(data_mod!$Z$2:$Z$63=$A30),N(data_mod!$AB$2:$AB$63=$A30)),_xlfn.LAMBDA(_xlpm.row,SUM(_xlpm.row)))))/SUM((data_mod!$M$2:$M$63="attacker")*(_xlfn.BYROW(_xlfn.HSTACK(N(data_mod!$Y$2:$Y$63=$A30),N(data_mod!$AA$2:$AA$63=$A30)),_xlfn.LAMBDA(_xlpm.row,SUM(_xlpm.row)))),(data_mod!$T$2:$T$63="attacker")*(_xlfn.BYROW(_xlfn.HSTACK(N(data_mod!$Z$2:$Z$63=$A30),N(data_mod!$AB$2:$AB$63=$A30)),_xlfn.LAMBDA(_xlpm.row,SUM(_xlpm.row)))))))</f>
        <v>-</v>
      </c>
      <c r="R30" s="40" cm="1">
        <f t="array" ref="R30">IF(SUM((data_mod!$M$2:$M$63="defender")*(_xlfn.BYROW(_xlfn.HSTACK(N(data_mod!$Y$2:$Y$63=$A30),N(data_mod!$AA$2:$AA$63=$A30)),_xlfn.LAMBDA(_xlpm.row,SUM(_xlpm.row)))),(data_mod!$T$2:$T$63="defender")*(_xlfn.BYROW(_xlfn.HSTACK(N(data_mod!$Z$2:$Z$63=$A30),N(data_mod!$AB$2:$AB$63=$A30)),_xlfn.LAMBDA(_xlpm.row,SUM(_xlpm.row)))))=0,"-",IF(($D30=0),0,SUM(N(data_mod!$F$2:$F$63="a")*(data_mod!$M$2:$M$63="defender")*(_xlfn.BYROW(_xlfn.HSTACK(N(data_mod!$Y$2:$Y$63=$A30),N(data_mod!$AA$2:$AA$63=$A30)),_xlfn.LAMBDA(_xlpm.row,SUM(_xlpm.row)))),N(data_mod!$F$2:$F$63="b")*(data_mod!$T$2:$T$63="defender")*(_xlfn.BYROW(_xlfn.HSTACK(N(data_mod!$Z$2:$Z$63=$A30),N(data_mod!$AB$2:$AB$63=$A30)),_xlfn.LAMBDA(_xlpm.row,SUM(_xlpm.row)))))/SUM((data_mod!$M$2:$M$63="defender")*(_xlfn.BYROW(_xlfn.HSTACK(N(data_mod!$Y$2:$Y$63=$A30),N(data_mod!$AA$2:$AA$63=$A30)),_xlfn.LAMBDA(_xlpm.row,SUM(_xlpm.row)))),(data_mod!$T$2:$T$63="defender")*(_xlfn.BYROW(_xlfn.HSTACK(N(data_mod!$Z$2:$Z$63=$A30),N(data_mod!$AB$2:$AB$63=$A30)),_xlfn.LAMBDA(_xlpm.row,SUM(_xlpm.row)))))))</f>
        <v>1</v>
      </c>
    </row>
    <row r="31" spans="1:18" x14ac:dyDescent="0.25">
      <c r="A31" s="8" t="s">
        <v>158</v>
      </c>
      <c r="B31" s="3" cm="1">
        <f t="array" ref="B31">SUM(N(_xlfn.VSTACK('Player-Force'!$F$3:$F$28,'Player-Force'!$G$3:$G$28,'Player-Force'!$J$3:$J$28,'Player-Force'!$K$3:$K$28)=A31))</f>
        <v>1</v>
      </c>
      <c r="C31" s="19" cm="1">
        <f t="array" ref="C31">SUM(_xlfn.BYROW(_xlfn.HSTACK(N(data_mod!$Y$2:$Y$63=A31),N(data_mod!$AA$2:$AA$63=A31)),_xlfn.LAMBDA(_xlpm.row,SUM(_xlpm.row))),_xlfn.BYROW(_xlfn.HSTACK(N(data_mod!$Z$2:$Z$63=A31),N(data_mod!$AB$2:$AB$63=A31)),_xlfn.LAMBDA(_xlpm.row,SUM(_xlpm.row))))</f>
        <v>1</v>
      </c>
      <c r="D31" s="15" cm="1">
        <f t="array" ref="D31">SUM((data_mod!$F$2:$F$63="a")*(_xlfn.BYROW(_xlfn.HSTACK(N(data_mod!$Y$2:$Y$63=A31),N(data_mod!$AA$2:$AA$63=A31)),_xlfn.LAMBDA(_xlpm.row,SUM(_xlpm.row)))),(data_mod!$F$2:$F$63="b")*(_xlfn.BYROW(_xlfn.HSTACK(N(data_mod!$Z$2:$Z$63=A31),N(data_mod!$AB$2:$AB$63=A31)),_xlfn.LAMBDA(_xlpm.row,SUM(_xlpm.row)))))/C31</f>
        <v>1</v>
      </c>
      <c r="E31" s="16" cm="1">
        <f t="array" ref="E31">SUM((data_mod!$F$2:$F$63="b")*(_xlfn.BYROW(_xlfn.HSTACK(N(data_mod!$Y$2:$Y$63=A31),N(data_mod!$AA$2:$AA$63=A31)),_xlfn.LAMBDA(_xlpm.row,SUM(_xlpm.row)))),(data_mod!$F$2:$F$63="a")*(_xlfn.BYROW(_xlfn.HSTACK(N(data_mod!$Z$2:$Z$63=A31),N(data_mod!$AB$2:$AB$63=A31)),_xlfn.LAMBDA(_xlpm.row,SUM(_xlpm.row)))))/C31</f>
        <v>0</v>
      </c>
      <c r="F31" s="17" cm="1">
        <f t="array" ref="F31">SUM((data_mod!$F$2:$F$63="none")*(_xlfn.BYROW(_xlfn.HSTACK(N(data_mod!$Y$2:$Y$63=A31),N(data_mod!$AA$2:$AA$63=A31)),_xlfn.LAMBDA(_xlpm.row,SUM(_xlpm.row)))),(data_mod!$F$2:$F$63="none")*(_xlfn.BYROW(_xlfn.HSTACK(N(data_mod!$Z$2:$Z$63=A31),N(data_mod!$AB$2:$AB$63=A31)),_xlfn.LAMBDA(_xlpm.row,SUM(_xlpm.row)))))/C31</f>
        <v>0</v>
      </c>
      <c r="G31" s="12" cm="1">
        <f t="array" ref="G31">SUM((data_mod!$L$2:$L$63)*(_xlfn.BYROW(_xlfn.HSTACK(N(data_mod!$Y$2:$Y$63=A31),N(data_mod!$AA$2:$AA$63=A31)),_xlfn.LAMBDA(_xlpm.row,SUM(_xlpm.row)))),(data_mod!$S$2:$S$63)*(_xlfn.BYROW(_xlfn.HSTACK(N(data_mod!$Z$2:$Z$63=A31),N(data_mod!$AB$2:$AB$63=A31)),_xlfn.LAMBDA(_xlpm.row,SUM(_xlpm.row)))))/C31</f>
        <v>8</v>
      </c>
      <c r="H31" s="7" cm="1">
        <f t="array" ref="H31">SUM((data_mod!$K$2:$K$63)*(_xlfn.BYROW(_xlfn.HSTACK(N(data_mod!$Y$2:$Y$63=A31),N(data_mod!$AA$2:$AA$63=A31)),_xlfn.LAMBDA(_xlpm.row,SUM(_xlpm.row)))),(data_mod!$R$2:$R$63)*(_xlfn.BYROW(_xlfn.HSTACK(N(data_mod!$Z$2:$Z$63=A31),N(data_mod!$AB$2:$AB$63=A31)),_xlfn.LAMBDA(_xlpm.row,SUM(_xlpm.row)))))/C31</f>
        <v>1</v>
      </c>
      <c r="I31" s="7" cm="1">
        <f t="array" ref="I31">SUM((data_mod!$R$2:$R$63)*(_xlfn.BYROW(_xlfn.HSTACK(N(data_mod!$Y$2:$Y$63=A31),N(data_mod!$AA$2:$AA$63=A31)),_xlfn.LAMBDA(_xlpm.row,SUM(_xlpm.row)))),(data_mod!$K$2:$K$63)*(_xlfn.BYROW(_xlfn.HSTACK(N(data_mod!$Z$2:$Z$63=A31),N(data_mod!$AB$2:$AB$63=A31)),_xlfn.LAMBDA(_xlpm.row,SUM(_xlpm.row)))))/C31</f>
        <v>4</v>
      </c>
      <c r="J31" s="29">
        <f t="shared" si="0"/>
        <v>4</v>
      </c>
      <c r="K31" s="33" cm="1">
        <f t="array" ref="K31">SUM((data_mod!$J$2:$J$63="attack")*(_xlfn.BYROW(_xlfn.HSTACK(N(data_mod!$Y$2:$Y$63=A31),N(data_mod!$AA$2:$AA$63=A31)),_xlfn.LAMBDA(_xlpm.row,SUM(_xlpm.row)))),(data_mod!$Q$2:$Q$63="attack")*(_xlfn.BYROW(_xlfn.HSTACK(N(data_mod!$Z$2:$Z$63=A31),N(data_mod!$AB$2:$AB$63=A31)),_xlfn.LAMBDA(_xlpm.row,SUM(_xlpm.row)))))/C31</f>
        <v>0</v>
      </c>
      <c r="L31" s="16" cm="1">
        <f t="array" ref="L31">SUM((data_mod!$J$2:$J$63="maneuver")*(_xlfn.BYROW(_xlfn.HSTACK(N(data_mod!$Y$2:$Y$63=A31),N(data_mod!$AA$2:$AA$63=A31)),_xlfn.LAMBDA(_xlpm.row,SUM(_xlpm.row)))),(data_mod!$Q$2:$Q$63="maneuver")*(_xlfn.BYROW(_xlfn.HSTACK(N(data_mod!$Z$2:$Z$63=A31),N(data_mod!$AB$2:$AB$63=A31)),_xlfn.LAMBDA(_xlpm.row,SUM(_xlpm.row)))))/C31</f>
        <v>0</v>
      </c>
      <c r="M31" s="17" cm="1">
        <f t="array" ref="M31">SUM((data_mod!$J$2:$J$63="defend")*(_xlfn.BYROW(_xlfn.HSTACK(N(data_mod!$Y$2:$Y$63=A31),N(data_mod!$AA$2:$AA$63=A31)),_xlfn.LAMBDA(_xlpm.row,SUM(_xlpm.row)))),(data_mod!$Q$2:$Q$63="defend")*(_xlfn.BYROW(_xlfn.HSTACK(N(data_mod!$Z$2:$Z$63=A31),N(data_mod!$AB$2:$AB$63=A31)),_xlfn.LAMBDA(_xlpm.row,SUM(_xlpm.row)))))/C31</f>
        <v>1</v>
      </c>
      <c r="N31" s="41" t="str" cm="1">
        <f t="array" ref="N31">IF(K31=0,"-",IF(($D31=0),0,SUM(N(data_mod!$F$2:$F$63="a")*(data_mod!$J$2:$J$63="attack")*(_xlfn.BYROW(_xlfn.HSTACK(N(data_mod!$Y$2:$Y$63=$A31),N(data_mod!$AA$2:$AA$63=$A31)),_xlfn.LAMBDA(_xlpm.row,SUM(_xlpm.row)))),N(data_mod!$F$2:$F$63="b")*(data_mod!$Q$2:$Q$63="attack")*(_xlfn.BYROW(_xlfn.HSTACK(N(data_mod!$Z$2:$Z$63=$A31),N(data_mod!$AB$2:$AB$63=$A31)),_xlfn.LAMBDA(_xlpm.row,SUM(_xlpm.row)))))/($C31*$K31)))</f>
        <v>-</v>
      </c>
      <c r="O31" s="42" t="str" cm="1">
        <f t="array" ref="O31">IF(L31=0,"-",IF(($L31=0),0,SUM(N(data_mod!$F$2:$F$63="a")*(data_mod!$J$2:$J$63="maneuver")*(_xlfn.BYROW(_xlfn.HSTACK(N(data_mod!$Y$2:$Y$63=$A31),N(data_mod!$AA$2:$AA$63=$A31)),_xlfn.LAMBDA(_xlpm.row,SUM(_xlpm.row)))),N(data_mod!$F$2:$F$63="b")*(data_mod!$Q$2:$Q$63="maneuver")*(_xlfn.BYROW(_xlfn.HSTACK(N(data_mod!$Z$2:$Z$63=$A31),N(data_mod!$AB$2:$AB$63=$A31)),_xlfn.LAMBDA(_xlpm.row,SUM(_xlpm.row)))))/($C31*$L31)))</f>
        <v>-</v>
      </c>
      <c r="P31" s="43" cm="1">
        <f t="array" ref="P31">IF(M31=0,"-",IF(($D31=0),0,SUM(N(data_mod!$F$2:$F$63="a")*(data_mod!$J$2:$J$63="defend")*(_xlfn.BYROW(_xlfn.HSTACK(N(data_mod!$Y$2:$Y$63=$A31),N(data_mod!$AA$2:$AA$63=$A31)),_xlfn.LAMBDA(_xlpm.row,SUM(_xlpm.row)))),N(data_mod!$F$2:$F$63="b")*(data_mod!$Q$2:$Q$63="defend")*(_xlfn.BYROW(_xlfn.HSTACK(N(data_mod!$Z$2:$Z$63=$A31),N(data_mod!$AB$2:$AB$63=$A31)),_xlfn.LAMBDA(_xlpm.row,SUM(_xlpm.row)))))/($C31*$M31)))</f>
        <v>1</v>
      </c>
      <c r="Q31" s="41" t="str" cm="1">
        <f t="array" ref="Q31">IF(SUM((data_mod!$M$2:$M$63="attacker")*(_xlfn.BYROW(_xlfn.HSTACK(N(data_mod!$Y$2:$Y$63=$A31),N(data_mod!$AA$2:$AA$63=$A31)),_xlfn.LAMBDA(_xlpm.row,SUM(_xlpm.row)))),(data_mod!$T$2:$T$63="attacker")*(_xlfn.BYROW(_xlfn.HSTACK(N(data_mod!$Z$2:$Z$63=$A31),N(data_mod!$AB$2:$AB$63=$A31)),_xlfn.LAMBDA(_xlpm.row,SUM(_xlpm.row)))))=0,"-",IF(($D31=0),0,SUM(N(data_mod!$F$2:$F$63="a")*(data_mod!$M$2:$M$63="attacker")*(_xlfn.BYROW(_xlfn.HSTACK(N(data_mod!$Y$2:$Y$63=$A31),N(data_mod!$AA$2:$AA$63=$A31)),_xlfn.LAMBDA(_xlpm.row,SUM(_xlpm.row)))),N(data_mod!$F$2:$F$63="b")*(data_mod!$T$2:$T$63="attacker")*(_xlfn.BYROW(_xlfn.HSTACK(N(data_mod!$Z$2:$Z$63=$A31),N(data_mod!$AB$2:$AB$63=$A31)),_xlfn.LAMBDA(_xlpm.row,SUM(_xlpm.row)))))/SUM((data_mod!$M$2:$M$63="attacker")*(_xlfn.BYROW(_xlfn.HSTACK(N(data_mod!$Y$2:$Y$63=$A31),N(data_mod!$AA$2:$AA$63=$A31)),_xlfn.LAMBDA(_xlpm.row,SUM(_xlpm.row)))),(data_mod!$T$2:$T$63="attacker")*(_xlfn.BYROW(_xlfn.HSTACK(N(data_mod!$Z$2:$Z$63=$A31),N(data_mod!$AB$2:$AB$63=$A31)),_xlfn.LAMBDA(_xlpm.row,SUM(_xlpm.row)))))))</f>
        <v>-</v>
      </c>
      <c r="R31" s="43" cm="1">
        <f t="array" ref="R31">IF(SUM((data_mod!$M$2:$M$63="defender")*(_xlfn.BYROW(_xlfn.HSTACK(N(data_mod!$Y$2:$Y$63=$A31),N(data_mod!$AA$2:$AA$63=$A31)),_xlfn.LAMBDA(_xlpm.row,SUM(_xlpm.row)))),(data_mod!$T$2:$T$63="defender")*(_xlfn.BYROW(_xlfn.HSTACK(N(data_mod!$Z$2:$Z$63=$A31),N(data_mod!$AB$2:$AB$63=$A31)),_xlfn.LAMBDA(_xlpm.row,SUM(_xlpm.row)))))=0,"-",IF(($D31=0),0,SUM(N(data_mod!$F$2:$F$63="a")*(data_mod!$M$2:$M$63="defender")*(_xlfn.BYROW(_xlfn.HSTACK(N(data_mod!$Y$2:$Y$63=$A31),N(data_mod!$AA$2:$AA$63=$A31)),_xlfn.LAMBDA(_xlpm.row,SUM(_xlpm.row)))),N(data_mod!$F$2:$F$63="b")*(data_mod!$T$2:$T$63="defender")*(_xlfn.BYROW(_xlfn.HSTACK(N(data_mod!$Z$2:$Z$63=$A31),N(data_mod!$AB$2:$AB$63=$A31)),_xlfn.LAMBDA(_xlpm.row,SUM(_xlpm.row)))))/SUM((data_mod!$M$2:$M$63="defender")*(_xlfn.BYROW(_xlfn.HSTACK(N(data_mod!$Y$2:$Y$63=$A31),N(data_mod!$AA$2:$AA$63=$A31)),_xlfn.LAMBDA(_xlpm.row,SUM(_xlpm.row)))),(data_mod!$T$2:$T$63="defender")*(_xlfn.BYROW(_xlfn.HSTACK(N(data_mod!$Z$2:$Z$63=$A31),N(data_mod!$AB$2:$AB$63=$A31)),_xlfn.LAMBDA(_xlpm.row,SUM(_xlpm.row)))))))</f>
        <v>1</v>
      </c>
    </row>
  </sheetData>
  <sheetProtection sheet="1" objects="1" scenarios="1"/>
  <autoFilter ref="A1:R1" xr:uid="{B7BE24B3-63AD-4E43-A43C-2ADE5A5836CC}"/>
  <conditionalFormatting sqref="A2:R31">
    <cfRule type="expression" dxfId="164" priority="2">
      <formula>$C2&lt;5</formula>
    </cfRule>
  </conditionalFormatting>
  <conditionalFormatting sqref="B2:B31">
    <cfRule type="top10" dxfId="163" priority="8" rank="5"/>
  </conditionalFormatting>
  <conditionalFormatting sqref="C2:C31">
    <cfRule type="cellIs" dxfId="162" priority="1" operator="lessThan">
      <formula>5</formula>
    </cfRule>
    <cfRule type="top10" dxfId="161" priority="9" rank="5"/>
  </conditionalFormatting>
  <conditionalFormatting sqref="D2:D31">
    <cfRule type="top10" dxfId="160" priority="20" bottom="1" rank="5"/>
    <cfRule type="top10" dxfId="159" priority="22" rank="5"/>
  </conditionalFormatting>
  <conditionalFormatting sqref="G2:G31">
    <cfRule type="top10" dxfId="158" priority="19" rank="5"/>
    <cfRule type="top10" dxfId="157" priority="21" bottom="1" rank="5"/>
  </conditionalFormatting>
  <conditionalFormatting sqref="H2:H31">
    <cfRule type="top10" dxfId="156" priority="13" rank="5"/>
    <cfRule type="top10" dxfId="155" priority="14" bottom="1" rank="5"/>
  </conditionalFormatting>
  <conditionalFormatting sqref="I2:I31">
    <cfRule type="top10" dxfId="154" priority="17" bottom="1" rank="5"/>
    <cfRule type="top10" dxfId="153" priority="18" rank="5"/>
  </conditionalFormatting>
  <conditionalFormatting sqref="J2:J31">
    <cfRule type="top10" dxfId="152" priority="15" rank="5"/>
    <cfRule type="top10" dxfId="151" priority="16" bottom="1" rank="5"/>
  </conditionalFormatting>
  <conditionalFormatting sqref="K2:K31">
    <cfRule type="top10" dxfId="150" priority="12" rank="5"/>
  </conditionalFormatting>
  <conditionalFormatting sqref="L2:L31">
    <cfRule type="top10" dxfId="149" priority="11" rank="5"/>
  </conditionalFormatting>
  <conditionalFormatting sqref="M2:M31">
    <cfRule type="top10" dxfId="148" priority="10" rank="5"/>
  </conditionalFormatting>
  <conditionalFormatting sqref="N2:N31">
    <cfRule type="top10" dxfId="147" priority="7" rank="5"/>
  </conditionalFormatting>
  <conditionalFormatting sqref="O2:O31">
    <cfRule type="top10" dxfId="146" priority="6" rank="5"/>
  </conditionalFormatting>
  <conditionalFormatting sqref="P2:P31">
    <cfRule type="top10" dxfId="145" priority="5" rank="5"/>
  </conditionalFormatting>
  <conditionalFormatting sqref="Q2:Q31">
    <cfRule type="top10" dxfId="144" priority="4" rank="5"/>
  </conditionalFormatting>
  <conditionalFormatting sqref="R2:R31">
    <cfRule type="top10" dxfId="143" priority="3" rank="5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3E778-2612-478B-9244-A1C3B57E1099}">
  <dimension ref="A1:N14"/>
  <sheetViews>
    <sheetView topLeftCell="A6" workbookViewId="0">
      <selection activeCell="D11" sqref="D11"/>
    </sheetView>
  </sheetViews>
  <sheetFormatPr defaultRowHeight="15" x14ac:dyDescent="0.25"/>
  <cols>
    <col min="1" max="1" width="27" bestFit="1" customWidth="1"/>
    <col min="2" max="2" width="15.5703125" bestFit="1" customWidth="1"/>
    <col min="3" max="3" width="13" bestFit="1" customWidth="1"/>
    <col min="4" max="4" width="9" bestFit="1" customWidth="1"/>
    <col min="5" max="5" width="9.5703125" bestFit="1" customWidth="1"/>
    <col min="6" max="6" width="10.28515625" bestFit="1" customWidth="1"/>
    <col min="7" max="7" width="19.85546875" bestFit="1" customWidth="1"/>
    <col min="8" max="8" width="16.42578125" bestFit="1" customWidth="1"/>
    <col min="9" max="9" width="18.140625" bestFit="1" customWidth="1"/>
    <col min="10" max="10" width="20" bestFit="1" customWidth="1"/>
    <col min="11" max="11" width="18.140625" bestFit="1" customWidth="1"/>
    <col min="12" max="12" width="22.42578125" bestFit="1" customWidth="1"/>
    <col min="13" max="13" width="18.7109375" bestFit="1" customWidth="1"/>
  </cols>
  <sheetData>
    <row r="1" spans="1:14" ht="16.5" thickBot="1" x14ac:dyDescent="0.3">
      <c r="A1" s="9" t="s">
        <v>108</v>
      </c>
      <c r="B1" s="10" t="s">
        <v>192</v>
      </c>
      <c r="C1" s="11" t="s">
        <v>180</v>
      </c>
      <c r="D1" s="9" t="s">
        <v>179</v>
      </c>
      <c r="E1" s="10" t="s">
        <v>178</v>
      </c>
      <c r="F1" s="11" t="s">
        <v>177</v>
      </c>
      <c r="G1" s="9" t="s">
        <v>184</v>
      </c>
      <c r="H1" s="10" t="s">
        <v>182</v>
      </c>
      <c r="I1" s="10" t="s">
        <v>183</v>
      </c>
      <c r="J1" s="11" t="s">
        <v>176</v>
      </c>
      <c r="K1" s="9" t="s">
        <v>172</v>
      </c>
      <c r="L1" s="10" t="s">
        <v>193</v>
      </c>
      <c r="M1" s="11" t="s">
        <v>173</v>
      </c>
    </row>
    <row r="2" spans="1:14" x14ac:dyDescent="0.25">
      <c r="A2" s="1" t="s">
        <v>109</v>
      </c>
      <c r="B2" cm="1">
        <f t="array" ref="B2">SUM(N(_xlfn.VSTACK('Player-Force'!$D$3:$D$28,'Player-Force'!$H$3:$H$28)=A2))</f>
        <v>2</v>
      </c>
      <c r="C2" s="18" cm="1">
        <f t="array" ref="C2">SUM(N(_xlfn.VSTACK(data_mod!$W$2:$W$63,data_mod!$X$2:$X$63)=A2))</f>
        <v>8</v>
      </c>
      <c r="D2" s="30" cm="1">
        <f t="array" ref="D2">SUM((data_mod!$F$2:$F$63="a")*(data_mod!$W$2:$W$63=A2),(data_mod!$F$2:$F$63="b")*(data_mod!$X$2:$X$63=A2))/C2</f>
        <v>0.375</v>
      </c>
      <c r="E2" s="31" cm="1">
        <f t="array" ref="E2">SUM((data_mod!$F$2:$F$63="b")*(data_mod!$W$2:$W$63=A2),(data_mod!$F$2:$F$63="a")*(data_mod!$X$2:$X$63=A2))/C2</f>
        <v>0.375</v>
      </c>
      <c r="F2" s="32" cm="1">
        <f t="array" ref="F2">SUM((data_mod!$F$2:$F$63="none")*(data_mod!$W$2:$W$63=A2),(data_mod!$F$2:$F$63="none")*(data_mod!$X$2:$X$63=A2))/C2</f>
        <v>0.25</v>
      </c>
      <c r="G2" s="34" cm="1">
        <f t="array" ref="G2">SUM((data_mod!$L$2:$L$63)*N(data_mod!$W$2:$W$63=A2),(data_mod!$S$2:$S$63)*N(data_mod!$X$2:$X$63=A2))/C2</f>
        <v>4.125</v>
      </c>
      <c r="H2" s="28" cm="1">
        <f t="array" ref="H2">SUM((data_mod!$K$2:$K$63)*N(data_mod!$W$2:$W$63=A2),(data_mod!$R$2:$R$63)*N(data_mod!$X$2:$X$63=A2))/C2</f>
        <v>1.75</v>
      </c>
      <c r="I2" s="28" cm="1">
        <f t="array" ref="I2">SUM((data_mod!$R$2:$R$63)*N(data_mod!$W$2:$W$63=A2),(data_mod!$K$2:$K$63)*N(data_mod!$X$2:$X$63=A2))/C2</f>
        <v>1.875</v>
      </c>
      <c r="J2" s="35">
        <f>I2/H2</f>
        <v>1.0714285714285714</v>
      </c>
      <c r="K2" s="30" cm="1">
        <f t="array" ref="K2">SUM((data_mod!$J$2:$J$63="attack")*(data_mod!$W$2:$W$63=A2),(data_mod!$Q$2:$Q$63="attack")*(data_mod!$X$2:$X$63=A2))/C2</f>
        <v>0.375</v>
      </c>
      <c r="L2" s="31" cm="1">
        <f t="array" ref="L2">SUM((data_mod!$J$2:$J$63="maneuver")*(data_mod!$W$2:$W$63=A2),(data_mod!$Q$2:$Q$63="maneuver")*(data_mod!$X$2:$X$63=A2))/C2</f>
        <v>0.5</v>
      </c>
      <c r="M2" s="32" cm="1">
        <f t="array" ref="M2">SUM((data_mod!$J$2:$J$63="defend")*(data_mod!$W$2:$W$63=A2),(data_mod!$Q$2:$Q$63="defend")*(data_mod!$X$2:$X$63=A2))/C2</f>
        <v>0.125</v>
      </c>
      <c r="N2" s="37"/>
    </row>
    <row r="3" spans="1:14" x14ac:dyDescent="0.25">
      <c r="A3" s="1" t="s">
        <v>111</v>
      </c>
      <c r="B3" cm="1">
        <f t="array" ref="B3">SUM(N(_xlfn.VSTACK('Player-Force'!$D$3:$D$28,'Player-Force'!$H$3:$H$28)=A3))</f>
        <v>1</v>
      </c>
      <c r="C3" s="18" cm="1">
        <f t="array" ref="C3">SUM(N(_xlfn.VSTACK(data_mod!$W$2:$W$63,data_mod!$X$2:$X$63)=A3))</f>
        <v>5</v>
      </c>
      <c r="D3" s="30" cm="1">
        <f t="array" ref="D3">SUM((data_mod!$F$2:$F$63="a")*(data_mod!$W$2:$W$63=A3),(data_mod!$F$2:$F$63="b")*(data_mod!$X$2:$X$63=A3))/C3</f>
        <v>0.4</v>
      </c>
      <c r="E3" s="31" cm="1">
        <f t="array" ref="E3">SUM((data_mod!$F$2:$F$63="b")*(data_mod!$W$2:$W$63=A3),(data_mod!$F$2:$F$63="a")*(data_mod!$X$2:$X$63=A3))/C3</f>
        <v>0</v>
      </c>
      <c r="F3" s="32" cm="1">
        <f t="array" ref="F3">SUM((data_mod!$F$2:$F$63="none")*(data_mod!$W$2:$W$63=A3),(data_mod!$F$2:$F$63="none")*(data_mod!$X$2:$X$63=A3))/C3</f>
        <v>0.6</v>
      </c>
      <c r="G3" s="34" cm="1">
        <f t="array" ref="G3">SUM((data_mod!$L$2:$L$63)*N(data_mod!$W$2:$W$63=A3),(data_mod!$S$2:$S$63)*N(data_mod!$X$2:$X$63=A3))/C3</f>
        <v>4.2</v>
      </c>
      <c r="H3" s="28" cm="1">
        <f t="array" ref="H3">SUM((data_mod!$K$2:$K$63)*N(data_mod!$W$2:$W$63=A3),(data_mod!$R$2:$R$63)*N(data_mod!$X$2:$X$63=A3))/C3</f>
        <v>2.4</v>
      </c>
      <c r="I3" s="28" cm="1">
        <f t="array" ref="I3">SUM((data_mod!$R$2:$R$63)*N(data_mod!$W$2:$W$63=A3),(data_mod!$K$2:$K$63)*N(data_mod!$X$2:$X$63=A3))/C3</f>
        <v>3</v>
      </c>
      <c r="J3" s="35">
        <f t="shared" ref="J3:J14" si="0">I3/H3</f>
        <v>1.25</v>
      </c>
      <c r="K3" s="30" cm="1">
        <f t="array" ref="K3">SUM((data_mod!$J$2:$J$63="attack")*(data_mod!$W$2:$W$63=A3),(data_mod!$Q$2:$Q$63="attack")*(data_mod!$X$2:$X$63=A3))/C3</f>
        <v>0</v>
      </c>
      <c r="L3" s="31" cm="1">
        <f t="array" ref="L3">SUM((data_mod!$J$2:$J$63="maneuver")*(data_mod!$W$2:$W$63=A3),(data_mod!$Q$2:$Q$63="maneuver")*(data_mod!$X$2:$X$63=A3))/C3</f>
        <v>0</v>
      </c>
      <c r="M3" s="32" cm="1">
        <f t="array" ref="M3">SUM((data_mod!$J$2:$J$63="defend")*(data_mod!$W$2:$W$63=A3),(data_mod!$Q$2:$Q$63="defend")*(data_mod!$X$2:$X$63=A3))/C3</f>
        <v>1</v>
      </c>
    </row>
    <row r="4" spans="1:14" x14ac:dyDescent="0.25">
      <c r="A4" s="1" t="s">
        <v>113</v>
      </c>
      <c r="B4" cm="1">
        <f t="array" ref="B4">SUM(N(_xlfn.VSTACK('Player-Force'!$D$3:$D$28,'Player-Force'!$H$3:$H$28)=A4))</f>
        <v>4</v>
      </c>
      <c r="C4" s="18" cm="1">
        <f t="array" ref="C4">SUM(N(_xlfn.VSTACK(data_mod!$W$2:$W$63,data_mod!$X$2:$X$63)=A4))</f>
        <v>18</v>
      </c>
      <c r="D4" s="30" cm="1">
        <f t="array" ref="D4">SUM((data_mod!$F$2:$F$63="a")*(data_mod!$W$2:$W$63=A4),(data_mod!$F$2:$F$63="b")*(data_mod!$X$2:$X$63=A4))/C4</f>
        <v>0.22222222222222221</v>
      </c>
      <c r="E4" s="31" cm="1">
        <f t="array" ref="E4">SUM((data_mod!$F$2:$F$63="b")*(data_mod!$W$2:$W$63=A4),(data_mod!$F$2:$F$63="a")*(data_mod!$X$2:$X$63=A4))/C4</f>
        <v>0.33333333333333331</v>
      </c>
      <c r="F4" s="32" cm="1">
        <f t="array" ref="F4">SUM((data_mod!$F$2:$F$63="none")*(data_mod!$W$2:$W$63=A4),(data_mod!$F$2:$F$63="none")*(data_mod!$X$2:$X$63=A4))/C4</f>
        <v>0.44444444444444442</v>
      </c>
      <c r="G4" s="34" cm="1">
        <f t="array" ref="G4">SUM((data_mod!$L$2:$L$63)*N(data_mod!$W$2:$W$63=A4),(data_mod!$S$2:$S$63)*N(data_mod!$X$2:$X$63=A4))/C4</f>
        <v>3.1666666666666665</v>
      </c>
      <c r="H4" s="28" cm="1">
        <f t="array" ref="H4">SUM((data_mod!$K$2:$K$63)*N(data_mod!$W$2:$W$63=A4),(data_mod!$R$2:$R$63)*N(data_mod!$X$2:$X$63=A4))/C4</f>
        <v>1.7777777777777777</v>
      </c>
      <c r="I4" s="28" cm="1">
        <f t="array" ref="I4">SUM((data_mod!$R$2:$R$63)*N(data_mod!$W$2:$W$63=A4),(data_mod!$K$2:$K$63)*N(data_mod!$X$2:$X$63=A4))/C4</f>
        <v>2.2222222222222223</v>
      </c>
      <c r="J4" s="35">
        <f t="shared" si="0"/>
        <v>1.2500000000000002</v>
      </c>
      <c r="K4" s="30" cm="1">
        <f t="array" ref="K4">SUM((data_mod!$J$2:$J$63="attack")*(data_mod!$W$2:$W$63=A4),(data_mod!$Q$2:$Q$63="attack")*(data_mod!$X$2:$X$63=A4))/C4</f>
        <v>0.1111111111111111</v>
      </c>
      <c r="L4" s="31" cm="1">
        <f t="array" ref="L4">SUM((data_mod!$J$2:$J$63="maneuver")*(data_mod!$W$2:$W$63=A4),(data_mod!$Q$2:$Q$63="maneuver")*(data_mod!$X$2:$X$63=A4))/C4</f>
        <v>0.33333333333333331</v>
      </c>
      <c r="M4" s="32" cm="1">
        <f t="array" ref="M4">SUM((data_mod!$J$2:$J$63="defend")*(data_mod!$W$2:$W$63=A4),(data_mod!$Q$2:$Q$63="defend")*(data_mod!$X$2:$X$63=A4))/C4</f>
        <v>0.55555555555555558</v>
      </c>
    </row>
    <row r="5" spans="1:14" x14ac:dyDescent="0.25">
      <c r="A5" s="1" t="s">
        <v>115</v>
      </c>
      <c r="B5" cm="1">
        <f t="array" ref="B5">SUM(N(_xlfn.VSTACK('Player-Force'!$D$3:$D$28,'Player-Force'!$H$3:$H$28)=A5))</f>
        <v>3</v>
      </c>
      <c r="C5" s="18" cm="1">
        <f t="array" ref="C5">SUM(N(_xlfn.VSTACK(data_mod!$W$2:$W$63,data_mod!$X$2:$X$63)=A5))</f>
        <v>11</v>
      </c>
      <c r="D5" s="30" cm="1">
        <f t="array" ref="D5">SUM((data_mod!$F$2:$F$63="a")*(data_mod!$W$2:$W$63=A5),(data_mod!$F$2:$F$63="b")*(data_mod!$X$2:$X$63=A5))/C5</f>
        <v>0.45454545454545453</v>
      </c>
      <c r="E5" s="31" cm="1">
        <f t="array" ref="E5">SUM((data_mod!$F$2:$F$63="b")*(data_mod!$W$2:$W$63=A5),(data_mod!$F$2:$F$63="a")*(data_mod!$X$2:$X$63=A5))/C5</f>
        <v>0.36363636363636365</v>
      </c>
      <c r="F5" s="32" cm="1">
        <f t="array" ref="F5">SUM((data_mod!$F$2:$F$63="none")*(data_mod!$W$2:$W$63=A5),(data_mod!$F$2:$F$63="none")*(data_mod!$X$2:$X$63=A5))/C5</f>
        <v>0.18181818181818182</v>
      </c>
      <c r="G5" s="34" cm="1">
        <f t="array" ref="G5">SUM((data_mod!$L$2:$L$63)*N(data_mod!$W$2:$W$63=A5),(data_mod!$S$2:$S$63)*N(data_mod!$X$2:$X$63=A5))/C5</f>
        <v>4.2727272727272725</v>
      </c>
      <c r="H5" s="28" cm="1">
        <f t="array" ref="H5">SUM((data_mod!$K$2:$K$63)*N(data_mod!$W$2:$W$63=A5),(data_mod!$R$2:$R$63)*N(data_mod!$X$2:$X$63=A5))/C5</f>
        <v>2.4545454545454546</v>
      </c>
      <c r="I5" s="28" cm="1">
        <f t="array" ref="I5">SUM((data_mod!$R$2:$R$63)*N(data_mod!$W$2:$W$63=A5),(data_mod!$K$2:$K$63)*N(data_mod!$X$2:$X$63=A5))/C5</f>
        <v>2.0909090909090908</v>
      </c>
      <c r="J5" s="35">
        <f t="shared" si="0"/>
        <v>0.85185185185185186</v>
      </c>
      <c r="K5" s="30" cm="1">
        <f t="array" ref="K5">SUM((data_mod!$J$2:$J$63="attack")*(data_mod!$W$2:$W$63=A5),(data_mod!$Q$2:$Q$63="attack")*(data_mod!$X$2:$X$63=A5))/C5</f>
        <v>0.36363636363636365</v>
      </c>
      <c r="L5" s="31" cm="1">
        <f t="array" ref="L5">SUM((data_mod!$J$2:$J$63="maneuver")*(data_mod!$W$2:$W$63=A5),(data_mod!$Q$2:$Q$63="maneuver")*(data_mod!$X$2:$X$63=A5))/C5</f>
        <v>0.45454545454545453</v>
      </c>
      <c r="M5" s="32" cm="1">
        <f t="array" ref="M5">SUM((data_mod!$J$2:$J$63="defend")*(data_mod!$W$2:$W$63=A5),(data_mod!$Q$2:$Q$63="defend")*(data_mod!$X$2:$X$63=A5))/C5</f>
        <v>0.18181818181818182</v>
      </c>
    </row>
    <row r="6" spans="1:14" x14ac:dyDescent="0.25">
      <c r="A6" s="1" t="s">
        <v>117</v>
      </c>
      <c r="B6" cm="1">
        <f t="array" ref="B6">SUM(N(_xlfn.VSTACK('Player-Force'!$D$3:$D$28,'Player-Force'!$H$3:$H$28)=A6))</f>
        <v>4</v>
      </c>
      <c r="C6" s="18" cm="1">
        <f t="array" ref="C6">SUM(N(_xlfn.VSTACK(data_mod!$W$2:$W$63,data_mod!$X$2:$X$63)=A6))</f>
        <v>14</v>
      </c>
      <c r="D6" s="30" cm="1">
        <f t="array" ref="D6">SUM((data_mod!$F$2:$F$63="a")*(data_mod!$W$2:$W$63=A6),(data_mod!$F$2:$F$63="b")*(data_mod!$X$2:$X$63=A6))/C6</f>
        <v>0.42857142857142855</v>
      </c>
      <c r="E6" s="31" cm="1">
        <f t="array" ref="E6">SUM((data_mod!$F$2:$F$63="b")*(data_mod!$W$2:$W$63=A6),(data_mod!$F$2:$F$63="a")*(data_mod!$X$2:$X$63=A6))/C6</f>
        <v>0.35714285714285715</v>
      </c>
      <c r="F6" s="32" cm="1">
        <f t="array" ref="F6">SUM((data_mod!$F$2:$F$63="none")*(data_mod!$W$2:$W$63=A6),(data_mod!$F$2:$F$63="none")*(data_mod!$X$2:$X$63=A6))/C6</f>
        <v>0.21428571428571427</v>
      </c>
      <c r="G6" s="34" cm="1">
        <f t="array" ref="G6">SUM((data_mod!$L$2:$L$63)*N(data_mod!$W$2:$W$63=A6),(data_mod!$S$2:$S$63)*N(data_mod!$X$2:$X$63=A6))/C6</f>
        <v>3.9285714285714284</v>
      </c>
      <c r="H6" s="28" cm="1">
        <f t="array" ref="H6">SUM((data_mod!$K$2:$K$63)*N(data_mod!$W$2:$W$63=A6),(data_mod!$R$2:$R$63)*N(data_mod!$X$2:$X$63=A6))/C6</f>
        <v>2.2142857142857144</v>
      </c>
      <c r="I6" s="28" cm="1">
        <f t="array" ref="I6">SUM((data_mod!$R$2:$R$63)*N(data_mod!$W$2:$W$63=A6),(data_mod!$K$2:$K$63)*N(data_mod!$X$2:$X$63=A6))/C6</f>
        <v>2.4285714285714284</v>
      </c>
      <c r="J6" s="35">
        <f t="shared" si="0"/>
        <v>1.096774193548387</v>
      </c>
      <c r="K6" s="30" cm="1">
        <f t="array" ref="K6">SUM((data_mod!$J$2:$J$63="attack")*(data_mod!$W$2:$W$63=A6),(data_mod!$Q$2:$Q$63="attack")*(data_mod!$X$2:$X$63=A6))/C6</f>
        <v>0.2857142857142857</v>
      </c>
      <c r="L6" s="31" cm="1">
        <f t="array" ref="L6">SUM((data_mod!$J$2:$J$63="maneuver")*(data_mod!$W$2:$W$63=A6),(data_mod!$Q$2:$Q$63="maneuver")*(data_mod!$X$2:$X$63=A6))/C6</f>
        <v>0.14285714285714285</v>
      </c>
      <c r="M6" s="32" cm="1">
        <f t="array" ref="M6">SUM((data_mod!$J$2:$J$63="defend")*(data_mod!$W$2:$W$63=A6),(data_mod!$Q$2:$Q$63="defend")*(data_mod!$X$2:$X$63=A6))/C6</f>
        <v>0.5714285714285714</v>
      </c>
    </row>
    <row r="7" spans="1:14" x14ac:dyDescent="0.25">
      <c r="A7" s="1" t="s">
        <v>118</v>
      </c>
      <c r="B7" cm="1">
        <f t="array" ref="B7">SUM(N(_xlfn.VSTACK('Player-Force'!$D$3:$D$28,'Player-Force'!$H$3:$H$28)=A7))</f>
        <v>6</v>
      </c>
      <c r="C7" s="18" cm="1">
        <f t="array" ref="C7">SUM(N(_xlfn.VSTACK(data_mod!$W$2:$W$63,data_mod!$X$2:$X$63)=A7))</f>
        <v>22</v>
      </c>
      <c r="D7" s="30" cm="1">
        <f t="array" ref="D7">SUM((data_mod!$F$2:$F$63="a")*(data_mod!$W$2:$W$63=A7),(data_mod!$F$2:$F$63="b")*(data_mod!$X$2:$X$63=A7))/C7</f>
        <v>0.40909090909090912</v>
      </c>
      <c r="E7" s="31" cm="1">
        <f t="array" ref="E7">SUM((data_mod!$F$2:$F$63="b")*(data_mod!$W$2:$W$63=A7),(data_mod!$F$2:$F$63="a")*(data_mod!$X$2:$X$63=A7))/C7</f>
        <v>0.45454545454545453</v>
      </c>
      <c r="F7" s="32" cm="1">
        <f t="array" ref="F7">SUM((data_mod!$F$2:$F$63="none")*(data_mod!$W$2:$W$63=A7),(data_mod!$F$2:$F$63="none")*(data_mod!$X$2:$X$63=A7))/C7</f>
        <v>0.13636363636363635</v>
      </c>
      <c r="G7" s="34" cm="1">
        <f t="array" ref="G7">SUM((data_mod!$L$2:$L$63)*N(data_mod!$W$2:$W$63=A7),(data_mod!$S$2:$S$63)*N(data_mod!$X$2:$X$63=A7))/C7</f>
        <v>4.1818181818181817</v>
      </c>
      <c r="H7" s="28" cm="1">
        <f t="array" ref="H7">SUM((data_mod!$K$2:$K$63)*N(data_mod!$W$2:$W$63=A7),(data_mod!$R$2:$R$63)*N(data_mod!$X$2:$X$63=A7))/C7</f>
        <v>2.5454545454545454</v>
      </c>
      <c r="I7" s="28" cm="1">
        <f t="array" ref="I7">SUM((data_mod!$R$2:$R$63)*N(data_mod!$W$2:$W$63=A7),(data_mod!$K$2:$K$63)*N(data_mod!$X$2:$X$63=A7))/C7</f>
        <v>2.5</v>
      </c>
      <c r="J7" s="35">
        <f t="shared" si="0"/>
        <v>0.98214285714285721</v>
      </c>
      <c r="K7" s="30" cm="1">
        <f t="array" ref="K7">SUM((data_mod!$J$2:$J$63="attack")*(data_mod!$W$2:$W$63=A7),(data_mod!$Q$2:$Q$63="attack")*(data_mod!$X$2:$X$63=A7))/C7</f>
        <v>0.40909090909090912</v>
      </c>
      <c r="L7" s="31" cm="1">
        <f t="array" ref="L7">SUM((data_mod!$J$2:$J$63="maneuver")*(data_mod!$W$2:$W$63=A7),(data_mod!$Q$2:$Q$63="maneuver")*(data_mod!$X$2:$X$63=A7))/C7</f>
        <v>0.13636363636363635</v>
      </c>
      <c r="M7" s="32" cm="1">
        <f t="array" ref="M7">SUM((data_mod!$J$2:$J$63="defend")*(data_mod!$W$2:$W$63=A7),(data_mod!$Q$2:$Q$63="defend")*(data_mod!$X$2:$X$63=A7))/C7</f>
        <v>0.45454545454545453</v>
      </c>
    </row>
    <row r="8" spans="1:14" x14ac:dyDescent="0.25">
      <c r="A8" s="1" t="s">
        <v>119</v>
      </c>
      <c r="B8" cm="1">
        <f t="array" ref="B8">SUM(N(_xlfn.VSTACK('Player-Force'!$D$3:$D$28,'Player-Force'!$H$3:$H$28)=A8))</f>
        <v>1</v>
      </c>
      <c r="C8" s="18" cm="1">
        <f t="array" ref="C8">SUM(N(_xlfn.VSTACK(data_mod!$W$2:$W$63,data_mod!$X$2:$X$63)=A8))</f>
        <v>3</v>
      </c>
      <c r="D8" s="30" cm="1">
        <f t="array" ref="D8">SUM((data_mod!$F$2:$F$63="a")*(data_mod!$W$2:$W$63=A8),(data_mod!$F$2:$F$63="b")*(data_mod!$X$2:$X$63=A8))/C8</f>
        <v>0.33333333333333331</v>
      </c>
      <c r="E8" s="31" cm="1">
        <f t="array" ref="E8">SUM((data_mod!$F$2:$F$63="b")*(data_mod!$W$2:$W$63=A8),(data_mod!$F$2:$F$63="a")*(data_mod!$X$2:$X$63=A8))/C8</f>
        <v>0.33333333333333331</v>
      </c>
      <c r="F8" s="32" cm="1">
        <f t="array" ref="F8">SUM((data_mod!$F$2:$F$63="none")*(data_mod!$W$2:$W$63=A8),(data_mod!$F$2:$F$63="none")*(data_mod!$X$2:$X$63=A8))/C8</f>
        <v>0.33333333333333331</v>
      </c>
      <c r="G8" s="34" cm="1">
        <f t="array" ref="G8">SUM((data_mod!$L$2:$L$63)*N(data_mod!$W$2:$W$63=A8),(data_mod!$S$2:$S$63)*N(data_mod!$X$2:$X$63=A8))/C8</f>
        <v>4</v>
      </c>
      <c r="H8" s="28" cm="1">
        <f t="array" ref="H8">SUM((data_mod!$K$2:$K$63)*N(data_mod!$W$2:$W$63=A8),(data_mod!$R$2:$R$63)*N(data_mod!$X$2:$X$63=A8))/C8</f>
        <v>2.6666666666666665</v>
      </c>
      <c r="I8" s="28" cm="1">
        <f t="array" ref="I8">SUM((data_mod!$R$2:$R$63)*N(data_mod!$W$2:$W$63=A8),(data_mod!$K$2:$K$63)*N(data_mod!$X$2:$X$63=A8))/C8</f>
        <v>2.6666666666666665</v>
      </c>
      <c r="J8" s="35">
        <f t="shared" si="0"/>
        <v>1</v>
      </c>
      <c r="K8" s="30" cm="1">
        <f t="array" ref="K8">SUM((data_mod!$J$2:$J$63="attack")*(data_mod!$W$2:$W$63=A8),(data_mod!$Q$2:$Q$63="attack")*(data_mod!$X$2:$X$63=A8))/C8</f>
        <v>0</v>
      </c>
      <c r="L8" s="31" cm="1">
        <f t="array" ref="L8">SUM((data_mod!$J$2:$J$63="maneuver")*(data_mod!$W$2:$W$63=A8),(data_mod!$Q$2:$Q$63="maneuver")*(data_mod!$X$2:$X$63=A8))/C8</f>
        <v>1</v>
      </c>
      <c r="M8" s="32" cm="1">
        <f t="array" ref="M8">SUM((data_mod!$J$2:$J$63="defend")*(data_mod!$W$2:$W$63=A8),(data_mod!$Q$2:$Q$63="defend")*(data_mod!$X$2:$X$63=A8))/C8</f>
        <v>0</v>
      </c>
    </row>
    <row r="9" spans="1:14" x14ac:dyDescent="0.25">
      <c r="A9" s="1" t="s">
        <v>120</v>
      </c>
      <c r="B9" cm="1">
        <f t="array" ref="B9">SUM(N(_xlfn.VSTACK('Player-Force'!$D$3:$D$28,'Player-Force'!$H$3:$H$28)=A9))</f>
        <v>3</v>
      </c>
      <c r="C9" s="18" cm="1">
        <f t="array" ref="C9">SUM(N(_xlfn.VSTACK(data_mod!$W$2:$W$63,data_mod!$X$2:$X$63)=A9))</f>
        <v>10</v>
      </c>
      <c r="D9" s="30" cm="1">
        <f t="array" ref="D9">SUM((data_mod!$F$2:$F$63="a")*(data_mod!$W$2:$W$63=A9),(data_mod!$F$2:$F$63="b")*(data_mod!$X$2:$X$63=A9))/C9</f>
        <v>0.1</v>
      </c>
      <c r="E9" s="31" cm="1">
        <f t="array" ref="E9">SUM((data_mod!$F$2:$F$63="b")*(data_mod!$W$2:$W$63=A9),(data_mod!$F$2:$F$63="a")*(data_mod!$X$2:$X$63=A9))/C9</f>
        <v>0.5</v>
      </c>
      <c r="F9" s="32" cm="1">
        <f t="array" ref="F9">SUM((data_mod!$F$2:$F$63="none")*(data_mod!$W$2:$W$63=A9),(data_mod!$F$2:$F$63="none")*(data_mod!$X$2:$X$63=A9))/C9</f>
        <v>0.4</v>
      </c>
      <c r="G9" s="34" cm="1">
        <f t="array" ref="G9">SUM((data_mod!$L$2:$L$63)*N(data_mod!$W$2:$W$63=A9),(data_mod!$S$2:$S$63)*N(data_mod!$X$2:$X$63=A9))/C9</f>
        <v>2</v>
      </c>
      <c r="H9" s="28" cm="1">
        <f t="array" ref="H9">SUM((data_mod!$K$2:$K$63)*N(data_mod!$W$2:$W$63=A9),(data_mod!$R$2:$R$63)*N(data_mod!$X$2:$X$63=A9))/C9</f>
        <v>2.7</v>
      </c>
      <c r="I9" s="28" cm="1">
        <f t="array" ref="I9">SUM((data_mod!$R$2:$R$63)*N(data_mod!$W$2:$W$63=A9),(data_mod!$K$2:$K$63)*N(data_mod!$X$2:$X$63=A9))/C9</f>
        <v>1.5</v>
      </c>
      <c r="J9" s="35">
        <f t="shared" si="0"/>
        <v>0.55555555555555547</v>
      </c>
      <c r="K9" s="30" cm="1">
        <f t="array" ref="K9">SUM((data_mod!$J$2:$J$63="attack")*(data_mod!$W$2:$W$63=A9),(data_mod!$Q$2:$Q$63="attack")*(data_mod!$X$2:$X$63=A9))/C9</f>
        <v>0</v>
      </c>
      <c r="L9" s="31" cm="1">
        <f t="array" ref="L9">SUM((data_mod!$J$2:$J$63="maneuver")*(data_mod!$W$2:$W$63=A9),(data_mod!$Q$2:$Q$63="maneuver")*(data_mod!$X$2:$X$63=A9))/C9</f>
        <v>0.2</v>
      </c>
      <c r="M9" s="32" cm="1">
        <f t="array" ref="M9">SUM((data_mod!$J$2:$J$63="defend")*(data_mod!$W$2:$W$63=A9),(data_mod!$Q$2:$Q$63="defend")*(data_mod!$X$2:$X$63=A9))/C9</f>
        <v>0.8</v>
      </c>
    </row>
    <row r="10" spans="1:14" x14ac:dyDescent="0.25">
      <c r="A10" s="1" t="s">
        <v>121</v>
      </c>
      <c r="B10" cm="1">
        <f t="array" ref="B10">SUM(N(_xlfn.VSTACK('Player-Force'!$D$3:$D$28,'Player-Force'!$H$3:$H$28)=A10))</f>
        <v>2</v>
      </c>
      <c r="C10" s="18" cm="1">
        <f t="array" ref="C10">SUM(N(_xlfn.VSTACK(data_mod!$W$2:$W$63,data_mod!$X$2:$X$63)=A10))</f>
        <v>10</v>
      </c>
      <c r="D10" s="30" cm="1">
        <f t="array" ref="D10">SUM((data_mod!$F$2:$F$63="a")*(data_mod!$W$2:$W$63=A10),(data_mod!$F$2:$F$63="b")*(data_mod!$X$2:$X$63=A10))/C10</f>
        <v>0.5</v>
      </c>
      <c r="E10" s="31" cm="1">
        <f t="array" ref="E10">SUM((data_mod!$F$2:$F$63="b")*(data_mod!$W$2:$W$63=A10),(data_mod!$F$2:$F$63="a")*(data_mod!$X$2:$X$63=A10))/C10</f>
        <v>0.4</v>
      </c>
      <c r="F10" s="32" cm="1">
        <f t="array" ref="F10">SUM((data_mod!$F$2:$F$63="none")*(data_mod!$W$2:$W$63=A10),(data_mod!$F$2:$F$63="none")*(data_mod!$X$2:$X$63=A10))/C10</f>
        <v>0.1</v>
      </c>
      <c r="G10" s="34" cm="1">
        <f t="array" ref="G10">SUM((data_mod!$L$2:$L$63)*N(data_mod!$W$2:$W$63=A10),(data_mod!$S$2:$S$63)*N(data_mod!$X$2:$X$63=A10))/C10</f>
        <v>4.5</v>
      </c>
      <c r="H10" s="28" cm="1">
        <f t="array" ref="H10">SUM((data_mod!$K$2:$K$63)*N(data_mod!$W$2:$W$63=A10),(data_mod!$R$2:$R$63)*N(data_mod!$X$2:$X$63=A10))/C10</f>
        <v>2.1</v>
      </c>
      <c r="I10" s="28" cm="1">
        <f t="array" ref="I10">SUM((data_mod!$R$2:$R$63)*N(data_mod!$W$2:$W$63=A10),(data_mod!$K$2:$K$63)*N(data_mod!$X$2:$X$63=A10))/C10</f>
        <v>3.6</v>
      </c>
      <c r="J10" s="35">
        <f t="shared" si="0"/>
        <v>1.7142857142857142</v>
      </c>
      <c r="K10" s="30" cm="1">
        <f t="array" ref="K10">SUM((data_mod!$J$2:$J$63="attack")*(data_mod!$W$2:$W$63=A10),(data_mod!$Q$2:$Q$63="attack")*(data_mod!$X$2:$X$63=A10))/C10</f>
        <v>0.4</v>
      </c>
      <c r="L10" s="31" cm="1">
        <f t="array" ref="L10">SUM((data_mod!$J$2:$J$63="maneuver")*(data_mod!$W$2:$W$63=A10),(data_mod!$Q$2:$Q$63="maneuver")*(data_mod!$X$2:$X$63=A10))/C10</f>
        <v>0.4</v>
      </c>
      <c r="M10" s="32" cm="1">
        <f t="array" ref="M10">SUM((data_mod!$J$2:$J$63="defend")*(data_mod!$W$2:$W$63=A10),(data_mod!$Q$2:$Q$63="defend")*(data_mod!$X$2:$X$63=A10))/C10</f>
        <v>0.2</v>
      </c>
    </row>
    <row r="11" spans="1:14" x14ac:dyDescent="0.25">
      <c r="A11" s="1" t="s">
        <v>122</v>
      </c>
      <c r="B11" cm="1">
        <f t="array" ref="B11">SUM(N(_xlfn.VSTACK('Player-Force'!$D$3:$D$28,'Player-Force'!$H$3:$H$28)=A11))</f>
        <v>1</v>
      </c>
      <c r="C11" s="18" cm="1">
        <f t="array" ref="C11">SUM(N(_xlfn.VSTACK(data_mod!$W$2:$W$63,data_mod!$X$2:$X$63)=A11))</f>
        <v>4</v>
      </c>
      <c r="D11" s="30" cm="1">
        <f t="array" ref="D11">SUM((data_mod!$F$2:$F$63="a")*(data_mod!$W$2:$W$63=A11),(data_mod!$F$2:$F$63="b")*(data_mod!$X$2:$X$63=A11))/C11</f>
        <v>0.75</v>
      </c>
      <c r="E11" s="31" cm="1">
        <f t="array" ref="E11">SUM((data_mod!$F$2:$F$63="b")*(data_mod!$W$2:$W$63=A11),(data_mod!$F$2:$F$63="a")*(data_mod!$X$2:$X$63=A11))/C11</f>
        <v>0.25</v>
      </c>
      <c r="F11" s="32" cm="1">
        <f t="array" ref="F11">SUM((data_mod!$F$2:$F$63="none")*(data_mod!$W$2:$W$63=A11),(data_mod!$F$2:$F$63="none")*(data_mod!$X$2:$X$63=A11))/C11</f>
        <v>0</v>
      </c>
      <c r="G11" s="34" cm="1">
        <f t="array" ref="G11">SUM((data_mod!$L$2:$L$63)*N(data_mod!$W$2:$W$63=A11),(data_mod!$S$2:$S$63)*N(data_mod!$X$2:$X$63=A11))/C11</f>
        <v>6</v>
      </c>
      <c r="H11" s="28" cm="1">
        <f t="array" ref="H11">SUM((data_mod!$K$2:$K$63)*N(data_mod!$W$2:$W$63=A11),(data_mod!$R$2:$R$63)*N(data_mod!$X$2:$X$63=A11))/C11</f>
        <v>1.5</v>
      </c>
      <c r="I11" s="28" cm="1">
        <f t="array" ref="I11">SUM((data_mod!$R$2:$R$63)*N(data_mod!$W$2:$W$63=A11),(data_mod!$K$2:$K$63)*N(data_mod!$X$2:$X$63=A11))/C11</f>
        <v>1.25</v>
      </c>
      <c r="J11" s="35">
        <f t="shared" si="0"/>
        <v>0.83333333333333337</v>
      </c>
      <c r="K11" s="30" cm="1">
        <f t="array" ref="K11">SUM((data_mod!$J$2:$J$63="attack")*(data_mod!$W$2:$W$63=A11),(data_mod!$Q$2:$Q$63="attack")*(data_mod!$X$2:$X$63=A11))/C11</f>
        <v>0.75</v>
      </c>
      <c r="L11" s="31" cm="1">
        <f t="array" ref="L11">SUM((data_mod!$J$2:$J$63="maneuver")*(data_mod!$W$2:$W$63=A11),(data_mod!$Q$2:$Q$63="maneuver")*(data_mod!$X$2:$X$63=A11))/C11</f>
        <v>0.25</v>
      </c>
      <c r="M11" s="32" cm="1">
        <f t="array" ref="M11">SUM((data_mod!$J$2:$J$63="defend")*(data_mod!$W$2:$W$63=A11),(data_mod!$Q$2:$Q$63="defend")*(data_mod!$X$2:$X$63=A11))/C11</f>
        <v>0</v>
      </c>
    </row>
    <row r="12" spans="1:14" x14ac:dyDescent="0.25">
      <c r="A12" s="1" t="s">
        <v>124</v>
      </c>
      <c r="B12" cm="1">
        <f t="array" ref="B12">SUM(N(_xlfn.VSTACK('Player-Force'!$D$3:$D$28,'Player-Force'!$H$3:$H$28)=A12))</f>
        <v>2</v>
      </c>
      <c r="C12" s="18" cm="1">
        <f t="array" ref="C12">SUM(N(_xlfn.VSTACK(data_mod!$W$2:$W$63,data_mod!$X$2:$X$63)=A12))</f>
        <v>6</v>
      </c>
      <c r="D12" s="30" cm="1">
        <f t="array" ref="D12">SUM((data_mod!$F$2:$F$63="a")*(data_mod!$W$2:$W$63=A12),(data_mod!$F$2:$F$63="b")*(data_mod!$X$2:$X$63=A12))/C12</f>
        <v>0.33333333333333331</v>
      </c>
      <c r="E12" s="31" cm="1">
        <f t="array" ref="E12">SUM((data_mod!$F$2:$F$63="b")*(data_mod!$W$2:$W$63=A12),(data_mod!$F$2:$F$63="a")*(data_mod!$X$2:$X$63=A12))/C12</f>
        <v>0.5</v>
      </c>
      <c r="F12" s="32" cm="1">
        <f t="array" ref="F12">SUM((data_mod!$F$2:$F$63="none")*(data_mod!$W$2:$W$63=A12),(data_mod!$F$2:$F$63="none")*(data_mod!$X$2:$X$63=A12))/C12</f>
        <v>0.16666666666666666</v>
      </c>
      <c r="G12" s="34" cm="1">
        <f t="array" ref="G12">SUM((data_mod!$L$2:$L$63)*N(data_mod!$W$2:$W$63=A12),(data_mod!$S$2:$S$63)*N(data_mod!$X$2:$X$63=A12))/C12</f>
        <v>3.3333333333333335</v>
      </c>
      <c r="H12" s="28" cm="1">
        <f t="array" ref="H12">SUM((data_mod!$K$2:$K$63)*N(data_mod!$W$2:$W$63=A12),(data_mod!$R$2:$R$63)*N(data_mod!$X$2:$X$63=A12))/C12</f>
        <v>3</v>
      </c>
      <c r="I12" s="28" cm="1">
        <f t="array" ref="I12">SUM((data_mod!$R$2:$R$63)*N(data_mod!$W$2:$W$63=A12),(data_mod!$K$2:$K$63)*N(data_mod!$X$2:$X$63=A12))/C12</f>
        <v>1.6666666666666667</v>
      </c>
      <c r="J12" s="35">
        <f t="shared" si="0"/>
        <v>0.55555555555555558</v>
      </c>
      <c r="K12" s="30" cm="1">
        <f t="array" ref="K12">SUM((data_mod!$J$2:$J$63="attack")*(data_mod!$W$2:$W$63=A12),(data_mod!$Q$2:$Q$63="attack")*(data_mod!$X$2:$X$63=A12))/C12</f>
        <v>0.33333333333333331</v>
      </c>
      <c r="L12" s="31" cm="1">
        <f t="array" ref="L12">SUM((data_mod!$J$2:$J$63="maneuver")*(data_mod!$W$2:$W$63=A12),(data_mod!$Q$2:$Q$63="maneuver")*(data_mod!$X$2:$X$63=A12))/C12</f>
        <v>0.33333333333333331</v>
      </c>
      <c r="M12" s="32" cm="1">
        <f t="array" ref="M12">SUM((data_mod!$J$2:$J$63="defend")*(data_mod!$W$2:$W$63=A12),(data_mod!$Q$2:$Q$63="defend")*(data_mod!$X$2:$X$63=A12))/C12</f>
        <v>0.33333333333333331</v>
      </c>
    </row>
    <row r="13" spans="1:14" x14ac:dyDescent="0.25">
      <c r="A13" s="1" t="s">
        <v>125</v>
      </c>
      <c r="B13" cm="1">
        <f t="array" ref="B13">SUM(N(_xlfn.VSTACK('Player-Force'!$D$3:$D$28,'Player-Force'!$H$3:$H$28)=A13))</f>
        <v>2</v>
      </c>
      <c r="C13" s="18" cm="1">
        <f t="array" ref="C13">SUM(N(_xlfn.VSTACK(data_mod!$W$2:$W$63,data_mod!$X$2:$X$63)=A13))</f>
        <v>7</v>
      </c>
      <c r="D13" s="30" cm="1">
        <f t="array" ref="D13">SUM((data_mod!$F$2:$F$63="a")*(data_mod!$W$2:$W$63=A13),(data_mod!$F$2:$F$63="b")*(data_mod!$X$2:$X$63=A13))/C13</f>
        <v>0.5714285714285714</v>
      </c>
      <c r="E13" s="31" cm="1">
        <f t="array" ref="E13">SUM((data_mod!$F$2:$F$63="b")*(data_mod!$W$2:$W$63=A13),(data_mod!$F$2:$F$63="a")*(data_mod!$X$2:$X$63=A13))/C13</f>
        <v>0.2857142857142857</v>
      </c>
      <c r="F13" s="32" cm="1">
        <f t="array" ref="F13">SUM((data_mod!$F$2:$F$63="none")*(data_mod!$W$2:$W$63=A13),(data_mod!$F$2:$F$63="none")*(data_mod!$X$2:$X$63=A13))/C13</f>
        <v>0.14285714285714285</v>
      </c>
      <c r="G13" s="34" cm="1">
        <f t="array" ref="G13">SUM((data_mod!$L$2:$L$63)*N(data_mod!$W$2:$W$63=A13),(data_mod!$S$2:$S$63)*N(data_mod!$X$2:$X$63=A13))/C13</f>
        <v>5</v>
      </c>
      <c r="H13" s="28" cm="1">
        <f t="array" ref="H13">SUM((data_mod!$K$2:$K$63)*N(data_mod!$W$2:$W$63=A13),(data_mod!$R$2:$R$63)*N(data_mod!$X$2:$X$63=A13))/C13</f>
        <v>2.1428571428571428</v>
      </c>
      <c r="I13" s="28" cm="1">
        <f t="array" ref="I13">SUM((data_mod!$R$2:$R$63)*N(data_mod!$W$2:$W$63=A13),(data_mod!$K$2:$K$63)*N(data_mod!$X$2:$X$63=A13))/C13</f>
        <v>3.1428571428571428</v>
      </c>
      <c r="J13" s="35">
        <f t="shared" si="0"/>
        <v>1.4666666666666668</v>
      </c>
      <c r="K13" s="30" cm="1">
        <f t="array" ref="K13">SUM((data_mod!$J$2:$J$63="attack")*(data_mod!$W$2:$W$63=A13),(data_mod!$Q$2:$Q$63="attack")*(data_mod!$X$2:$X$63=A13))/C13</f>
        <v>0.42857142857142855</v>
      </c>
      <c r="L13" s="31" cm="1">
        <f t="array" ref="L13">SUM((data_mod!$J$2:$J$63="maneuver")*(data_mod!$W$2:$W$63=A13),(data_mod!$Q$2:$Q$63="maneuver")*(data_mod!$X$2:$X$63=A13))/C13</f>
        <v>0.42857142857142855</v>
      </c>
      <c r="M13" s="32" cm="1">
        <f t="array" ref="M13">SUM((data_mod!$J$2:$J$63="defend")*(data_mod!$W$2:$W$63=A13),(data_mod!$Q$2:$Q$63="defend")*(data_mod!$X$2:$X$63=A13))/C13</f>
        <v>0.14285714285714285</v>
      </c>
    </row>
    <row r="14" spans="1:14" x14ac:dyDescent="0.25">
      <c r="A14" s="3" t="s">
        <v>161</v>
      </c>
      <c r="B14" s="2" cm="1">
        <f t="array" ref="B14">SUM(N(_xlfn.VSTACK('Player-Force'!$D$3:$D$28,'Player-Force'!$H$3:$H$28)=A14))</f>
        <v>1</v>
      </c>
      <c r="C14" s="19" cm="1">
        <f t="array" ref="C14">SUM(N(_xlfn.VSTACK(data_mod!$W$2:$W$63,data_mod!$X$2:$X$63)=A14))</f>
        <v>4</v>
      </c>
      <c r="D14" s="33" cm="1">
        <f t="array" ref="D14">SUM((data_mod!$F$2:$F$63="a")*(data_mod!$W$2:$W$63=A14),(data_mod!$F$2:$F$63="b")*(data_mod!$X$2:$X$63=A14))/C14</f>
        <v>0.25</v>
      </c>
      <c r="E14" s="16" cm="1">
        <f t="array" ref="E14">SUM((data_mod!$F$2:$F$63="b")*(data_mod!$W$2:$W$63=A14),(data_mod!$F$2:$F$63="a")*(data_mod!$X$2:$X$63=A14))/C14</f>
        <v>0.5</v>
      </c>
      <c r="F14" s="17" cm="1">
        <f t="array" ref="F14">SUM((data_mod!$F$2:$F$63="none")*(data_mod!$W$2:$W$63=A14),(data_mod!$F$2:$F$63="none")*(data_mod!$X$2:$X$63=A14))/C14</f>
        <v>0.25</v>
      </c>
      <c r="G14" s="12" cm="1">
        <f t="array" ref="G14">SUM((data_mod!$L$2:$L$63)*N(data_mod!$W$2:$W$63=A14),(data_mod!$S$2:$S$63)*N(data_mod!$X$2:$X$63=A14))/C14</f>
        <v>3</v>
      </c>
      <c r="H14" s="7" cm="1">
        <f t="array" ref="H14">SUM((data_mod!$K$2:$K$63)*N(data_mod!$W$2:$W$63=A14),(data_mod!$R$2:$R$63)*N(data_mod!$X$2:$X$63=A14))/C14</f>
        <v>4.75</v>
      </c>
      <c r="I14" s="7" cm="1">
        <f t="array" ref="I14">SUM((data_mod!$R$2:$R$63)*N(data_mod!$W$2:$W$63=A14),(data_mod!$K$2:$K$63)*N(data_mod!$X$2:$X$63=A14))/C14</f>
        <v>1.75</v>
      </c>
      <c r="J14" s="29">
        <f t="shared" si="0"/>
        <v>0.36842105263157893</v>
      </c>
      <c r="K14" s="33" cm="1">
        <f t="array" ref="K14">SUM((data_mod!$J$2:$J$63="attack")*(data_mod!$W$2:$W$63=A14),(data_mod!$Q$2:$Q$63="attack")*(data_mod!$X$2:$X$63=A14))/C14</f>
        <v>0.75</v>
      </c>
      <c r="L14" s="16" cm="1">
        <f t="array" ref="L14">SUM((data_mod!$J$2:$J$63="maneuver")*(data_mod!$W$2:$W$63=A14),(data_mod!$Q$2:$Q$63="maneuver")*(data_mod!$X$2:$X$63=A14))/C14</f>
        <v>0.25</v>
      </c>
      <c r="M14" s="17" cm="1">
        <f t="array" ref="M14">SUM((data_mod!$J$2:$J$63="defend")*(data_mod!$W$2:$W$63=A14),(data_mod!$Q$2:$Q$63="defend")*(data_mod!$X$2:$X$63=A14))/C14</f>
        <v>0</v>
      </c>
    </row>
  </sheetData>
  <sheetProtection sheet="1" objects="1" scenarios="1"/>
  <autoFilter ref="A1:M1" xr:uid="{87E3E778-2612-478B-9244-A1C3B57E1099}"/>
  <conditionalFormatting sqref="B2:B14">
    <cfRule type="top10" dxfId="142" priority="15" rank="5"/>
  </conditionalFormatting>
  <conditionalFormatting sqref="C2:C14">
    <cfRule type="top10" dxfId="141" priority="14" rank="5"/>
  </conditionalFormatting>
  <conditionalFormatting sqref="D2:D14">
    <cfRule type="top10" dxfId="140" priority="7" bottom="1" rank="5"/>
    <cfRule type="top10" dxfId="139" priority="16" rank="5"/>
  </conditionalFormatting>
  <conditionalFormatting sqref="G2:G14">
    <cfRule type="top10" dxfId="138" priority="8" bottom="1" rank="5"/>
    <cfRule type="top10" dxfId="137" priority="13" rank="5"/>
  </conditionalFormatting>
  <conditionalFormatting sqref="H2:H14">
    <cfRule type="top10" dxfId="136" priority="5" bottom="1" rank="5"/>
    <cfRule type="top10" dxfId="135" priority="6" rank="5"/>
  </conditionalFormatting>
  <conditionalFormatting sqref="I2:I14">
    <cfRule type="top10" dxfId="134" priority="9" bottom="1" rank="5"/>
    <cfRule type="top10" dxfId="133" priority="12" rank="5"/>
  </conditionalFormatting>
  <conditionalFormatting sqref="J2:J14">
    <cfRule type="top10" dxfId="132" priority="10" bottom="1" rank="5"/>
    <cfRule type="top10" dxfId="131" priority="11" rank="5"/>
  </conditionalFormatting>
  <conditionalFormatting sqref="K2:K14">
    <cfRule type="top10" dxfId="130" priority="1" rank="5"/>
  </conditionalFormatting>
  <conditionalFormatting sqref="L2:L14">
    <cfRule type="top10" dxfId="129" priority="2" rank="5"/>
    <cfRule type="top10" dxfId="128" priority="3" rank="5"/>
  </conditionalFormatting>
  <conditionalFormatting sqref="M2:M14">
    <cfRule type="top10" dxfId="127" priority="4" rank="5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F4D5-1ADF-4FEF-BA58-15A36D64C4C3}">
  <dimension ref="A1:I4"/>
  <sheetViews>
    <sheetView workbookViewId="0">
      <selection activeCell="J10" sqref="J10"/>
    </sheetView>
  </sheetViews>
  <sheetFormatPr defaultRowHeight="15" x14ac:dyDescent="0.25"/>
  <cols>
    <col min="1" max="1" width="9.85546875" bestFit="1" customWidth="1"/>
    <col min="2" max="2" width="11.85546875" bestFit="1" customWidth="1"/>
    <col min="3" max="3" width="9" bestFit="1" customWidth="1"/>
    <col min="4" max="4" width="9.5703125" bestFit="1" customWidth="1"/>
    <col min="5" max="5" width="10.28515625" bestFit="1" customWidth="1"/>
    <col min="6" max="6" width="19.85546875" bestFit="1" customWidth="1"/>
    <col min="7" max="7" width="16.42578125" bestFit="1" customWidth="1"/>
    <col min="8" max="8" width="18.140625" bestFit="1" customWidth="1"/>
    <col min="9" max="9" width="20" bestFit="1" customWidth="1"/>
    <col min="10" max="10" width="18.42578125" bestFit="1" customWidth="1"/>
    <col min="11" max="11" width="15.7109375" bestFit="1" customWidth="1"/>
    <col min="12" max="12" width="22.7109375" bestFit="1" customWidth="1"/>
    <col min="13" max="13" width="21" bestFit="1" customWidth="1"/>
  </cols>
  <sheetData>
    <row r="1" spans="1:9" ht="16.5" thickBot="1" x14ac:dyDescent="0.3">
      <c r="A1" s="67" t="s">
        <v>199</v>
      </c>
      <c r="B1" s="63" t="s">
        <v>223</v>
      </c>
      <c r="C1" s="62" t="s">
        <v>179</v>
      </c>
      <c r="D1" s="21" t="s">
        <v>178</v>
      </c>
      <c r="E1" s="63" t="s">
        <v>177</v>
      </c>
      <c r="F1" s="26" t="s">
        <v>184</v>
      </c>
      <c r="G1" s="5" t="s">
        <v>182</v>
      </c>
      <c r="H1" s="5" t="s">
        <v>183</v>
      </c>
      <c r="I1" s="6" t="s">
        <v>176</v>
      </c>
    </row>
    <row r="2" spans="1:9" x14ac:dyDescent="0.25">
      <c r="A2" s="49" t="s">
        <v>200</v>
      </c>
      <c r="B2" s="68" cm="1">
        <f t="array" ref="B2">SUM(N(_xlfn.VSTACK(data_stance_a,data_stance_b)=A2))</f>
        <v>37</v>
      </c>
      <c r="C2" s="64" cm="1">
        <f t="array" ref="C2">SUM((data_winner="a")*(data_stance_a=A2),(data_winner="b")*(data_stance_b=A2))/B2</f>
        <v>0.35135135135135137</v>
      </c>
      <c r="D2" s="65" cm="1">
        <f t="array" ref="D2">SUM((data_winner="b")*(data_stance_a=A2),(data_winner="a")*(data_stance_b=A2))/B2</f>
        <v>0.54054054054054057</v>
      </c>
      <c r="E2" s="66" cm="1">
        <f t="array" ref="E2">SUM((data_winner="none")*(data_stance_a=A2),(data_winner="none")*(data_stance_b=A2))/B2</f>
        <v>0.10810810810810811</v>
      </c>
      <c r="F2" s="47" cm="1">
        <f t="array" ref="F2">(SUM(data_score_a*N(data_stance_a=A2))+SUM(data_score_b*N(data_stance_b=A2)))/B2</f>
        <v>3.7567567567567566</v>
      </c>
      <c r="G2" s="28" cm="1">
        <f t="array" ref="G2">(SUM(data_units_a*N(data_stance_a=A2))+SUM(data_units_b*N(data_stance_b=A2)))/B2</f>
        <v>3.1081081081081079</v>
      </c>
      <c r="H2" s="28" cm="1">
        <f t="array" ref="H2">(SUM(data_units_a*N(data_stance_b=A2))+SUM(data_units_b*N(data_stance_a=A2)))/B2</f>
        <v>2.4864864864864864</v>
      </c>
      <c r="I2" s="18">
        <f>H2/G2</f>
        <v>0.8</v>
      </c>
    </row>
    <row r="3" spans="1:9" x14ac:dyDescent="0.25">
      <c r="A3" s="1" t="s">
        <v>201</v>
      </c>
      <c r="B3" s="18" cm="1">
        <f t="array" ref="B3">SUM(N(_xlfn.VSTACK(data_stance_a,data_stance_b)=A3))</f>
        <v>36</v>
      </c>
      <c r="C3" s="30" cm="1">
        <f t="array" ref="C3">SUM((data_winner="a")*(data_stance_a=A3),(data_winner="b")*(data_stance_b=A3))/B3</f>
        <v>0.44444444444444442</v>
      </c>
      <c r="D3" s="31" cm="1">
        <f t="array" ref="D3">SUM((data_winner="b")*(data_stance_a=A3),(data_winner="a")*(data_stance_b=A3))/B3</f>
        <v>0.33333333333333331</v>
      </c>
      <c r="E3" s="32" cm="1">
        <f t="array" ref="E3">SUM((data_winner="none")*(data_stance_a=A3),(data_winner="none")*(data_stance_b=A3))/B3</f>
        <v>0.22222222222222221</v>
      </c>
      <c r="F3" s="47" cm="1">
        <f t="array" ref="F3">(SUM(data_score_a*N(data_stance_a=A3))+SUM(data_score_b*N(data_stance_b=A3)))/B3</f>
        <v>4.25</v>
      </c>
      <c r="G3" s="28" cm="1">
        <f t="array" ref="G3">(SUM(data_units_a*N(data_stance_a=A3))+SUM(data_units_b*N(data_stance_b=A3)))/B3</f>
        <v>1.9722222222222223</v>
      </c>
      <c r="H3" s="28" cm="1">
        <f t="array" ref="H3">(SUM(data_units_a*N(data_stance_b=A3))+SUM(data_units_b*N(data_stance_a=A3)))/B3</f>
        <v>2.2777777777777777</v>
      </c>
      <c r="I3" s="18">
        <f t="shared" ref="I3:I4" si="0">H3/G3</f>
        <v>1.1549295774647885</v>
      </c>
    </row>
    <row r="4" spans="1:9" x14ac:dyDescent="0.25">
      <c r="A4" s="3" t="s">
        <v>202</v>
      </c>
      <c r="B4" s="19" cm="1">
        <f t="array" ref="B4">SUM(N(_xlfn.VSTACK(data_stance_a,data_stance_b)=A4))</f>
        <v>51</v>
      </c>
      <c r="C4" s="33" cm="1">
        <f t="array" ref="C4">SUM((data_winner="a")*(data_stance_a=A4),(data_winner="b")*(data_stance_b=A4))/B4</f>
        <v>0.35294117647058826</v>
      </c>
      <c r="D4" s="16" cm="1">
        <f t="array" ref="D4">SUM((data_winner="b")*(data_stance_a=A4),(data_winner="a")*(data_stance_b=A4))/B4</f>
        <v>0.29411764705882354</v>
      </c>
      <c r="E4" s="17" cm="1">
        <f t="array" ref="E4">SUM((data_winner="none")*(data_stance_a=A4),(data_winner="none")*(data_stance_b=A4))/B4</f>
        <v>0.35294117647058826</v>
      </c>
      <c r="F4" s="48" cm="1">
        <f t="array" ref="F4">(SUM(data_score_a*N(data_stance_a=A4))+SUM(data_score_b*N(data_stance_b=A4)))/B4</f>
        <v>3.7254901960784315</v>
      </c>
      <c r="G4" s="7" cm="1">
        <f t="array" ref="G4">(SUM(data_units_a*N(data_stance_a=A4))+SUM(data_units_b*N(data_stance_b=A4)))/B4</f>
        <v>2.0392156862745097</v>
      </c>
      <c r="H4" s="7" cm="1">
        <f t="array" ref="H4">(SUM(data_units_a*N(data_stance_b=A4))+SUM(data_units_b*N(data_stance_a=A4)))/B4</f>
        <v>2.2745098039215685</v>
      </c>
      <c r="I4" s="19">
        <f t="shared" si="0"/>
        <v>1.1153846153846154</v>
      </c>
    </row>
  </sheetData>
  <sheetProtection sheet="1" objects="1" scenarios="1"/>
  <autoFilter ref="A1:I1" xr:uid="{32B5F4D5-1ADF-4FEF-BA58-15A36D64C4C3}"/>
  <conditionalFormatting sqref="B2:B4">
    <cfRule type="top10" dxfId="126" priority="9" rank="1"/>
  </conditionalFormatting>
  <conditionalFormatting sqref="C2:C4">
    <cfRule type="top10" dxfId="125" priority="10" bottom="1" rank="1"/>
    <cfRule type="top10" dxfId="124" priority="13" rank="1"/>
  </conditionalFormatting>
  <conditionalFormatting sqref="F2:F4">
    <cfRule type="top10" dxfId="123" priority="4" bottom="1" rank="1"/>
    <cfRule type="top10" dxfId="122" priority="8" rank="1"/>
  </conditionalFormatting>
  <conditionalFormatting sqref="G2:G4">
    <cfRule type="top10" dxfId="121" priority="1" bottom="1" rank="1"/>
    <cfRule type="top10" dxfId="120" priority="5" rank="1"/>
  </conditionalFormatting>
  <conditionalFormatting sqref="H2:H4">
    <cfRule type="top10" dxfId="119" priority="3" bottom="1" rank="1"/>
    <cfRule type="top10" dxfId="118" priority="7" rank="1"/>
  </conditionalFormatting>
  <conditionalFormatting sqref="I2:I4">
    <cfRule type="top10" dxfId="117" priority="2" bottom="1" rank="1"/>
    <cfRule type="top10" dxfId="116" priority="6" rank="1"/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8F2D-77CC-4720-915D-B9D5632AAA18}">
  <dimension ref="A1:AC20"/>
  <sheetViews>
    <sheetView topLeftCell="B1" zoomScale="130" zoomScaleNormal="130" workbookViewId="0">
      <selection activeCell="J10" sqref="J10"/>
    </sheetView>
  </sheetViews>
  <sheetFormatPr defaultRowHeight="15" x14ac:dyDescent="0.25"/>
  <cols>
    <col min="1" max="1" width="15.42578125" hidden="1" customWidth="1"/>
    <col min="2" max="2" width="16.28515625" bestFit="1" customWidth="1"/>
    <col min="3" max="3" width="13" bestFit="1" customWidth="1"/>
    <col min="4" max="4" width="12.28515625" bestFit="1" customWidth="1"/>
    <col min="5" max="5" width="17" bestFit="1" customWidth="1"/>
    <col min="6" max="6" width="12" bestFit="1" customWidth="1"/>
    <col min="7" max="7" width="19.85546875" bestFit="1" customWidth="1"/>
    <col min="8" max="8" width="16.42578125" bestFit="1" customWidth="1"/>
    <col min="9" max="9" width="20" bestFit="1" customWidth="1"/>
    <col min="10" max="10" width="24" bestFit="1" customWidth="1"/>
    <col min="11" max="11" width="20.85546875" bestFit="1" customWidth="1"/>
    <col min="12" max="12" width="21.140625" bestFit="1" customWidth="1"/>
    <col min="13" max="13" width="18" bestFit="1" customWidth="1"/>
    <col min="14" max="14" width="28.28515625" bestFit="1" customWidth="1"/>
    <col min="15" max="15" width="25.140625" bestFit="1" customWidth="1"/>
    <col min="16" max="16" width="26.42578125" bestFit="1" customWidth="1"/>
    <col min="17" max="17" width="22.7109375" bestFit="1" customWidth="1"/>
    <col min="18" max="18" width="12" bestFit="1" customWidth="1"/>
    <col min="19" max="19" width="19.85546875" bestFit="1" customWidth="1"/>
    <col min="20" max="20" width="16.42578125" bestFit="1" customWidth="1"/>
    <col min="21" max="21" width="20" bestFit="1" customWidth="1"/>
    <col min="22" max="22" width="24" bestFit="1" customWidth="1"/>
    <col min="23" max="23" width="20.85546875" bestFit="1" customWidth="1"/>
    <col min="24" max="24" width="21.140625" bestFit="1" customWidth="1"/>
    <col min="25" max="25" width="18" bestFit="1" customWidth="1"/>
    <col min="26" max="26" width="28.28515625" bestFit="1" customWidth="1"/>
    <col min="27" max="27" width="25.140625" bestFit="1" customWidth="1"/>
    <col min="28" max="28" width="26.42578125" bestFit="1" customWidth="1"/>
    <col min="29" max="29" width="22.7109375" bestFit="1" customWidth="1"/>
  </cols>
  <sheetData>
    <row r="1" spans="1:29" ht="16.5" thickBot="1" x14ac:dyDescent="0.3">
      <c r="B1" s="92" t="s">
        <v>240</v>
      </c>
      <c r="C1" s="93"/>
      <c r="D1" s="93"/>
      <c r="E1" s="93"/>
      <c r="F1" s="92" t="s">
        <v>226</v>
      </c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4" t="s">
        <v>228</v>
      </c>
      <c r="S1" s="95"/>
      <c r="T1" s="95"/>
      <c r="U1" s="95"/>
      <c r="V1" s="95"/>
      <c r="W1" s="95"/>
      <c r="X1" s="96"/>
      <c r="Y1" s="96"/>
      <c r="Z1" s="96"/>
      <c r="AA1" s="96"/>
      <c r="AB1" s="96"/>
      <c r="AC1" s="97"/>
    </row>
    <row r="2" spans="1:29" ht="16.5" thickBot="1" x14ac:dyDescent="0.3">
      <c r="A2" s="4" t="s">
        <v>203</v>
      </c>
      <c r="B2" s="26" t="s">
        <v>204</v>
      </c>
      <c r="C2" s="26" t="s">
        <v>180</v>
      </c>
      <c r="D2" s="5" t="s">
        <v>230</v>
      </c>
      <c r="E2" s="5" t="s">
        <v>229</v>
      </c>
      <c r="F2" s="26" t="s">
        <v>253</v>
      </c>
      <c r="G2" s="5" t="s">
        <v>255</v>
      </c>
      <c r="H2" s="5" t="s">
        <v>182</v>
      </c>
      <c r="I2" s="5" t="s">
        <v>176</v>
      </c>
      <c r="J2" s="9" t="s">
        <v>231</v>
      </c>
      <c r="K2" s="11" t="s">
        <v>236</v>
      </c>
      <c r="L2" s="9" t="s">
        <v>232</v>
      </c>
      <c r="M2" s="11" t="s">
        <v>237</v>
      </c>
      <c r="N2" s="9" t="s">
        <v>234</v>
      </c>
      <c r="O2" s="11" t="s">
        <v>238</v>
      </c>
      <c r="P2" s="9" t="s">
        <v>233</v>
      </c>
      <c r="Q2" s="11" t="s">
        <v>239</v>
      </c>
      <c r="R2" s="26" t="s">
        <v>252</v>
      </c>
      <c r="S2" s="5" t="s">
        <v>254</v>
      </c>
      <c r="T2" s="5" t="s">
        <v>182</v>
      </c>
      <c r="U2" s="5" t="s">
        <v>176</v>
      </c>
      <c r="V2" s="26" t="s">
        <v>231</v>
      </c>
      <c r="W2" s="5" t="s">
        <v>236</v>
      </c>
      <c r="X2" s="9" t="s">
        <v>232</v>
      </c>
      <c r="Y2" s="11" t="s">
        <v>237</v>
      </c>
      <c r="Z2" s="9" t="s">
        <v>234</v>
      </c>
      <c r="AA2" s="11" t="s">
        <v>238</v>
      </c>
      <c r="AB2" s="9" t="s">
        <v>233</v>
      </c>
      <c r="AC2" s="11" t="s">
        <v>239</v>
      </c>
    </row>
    <row r="3" spans="1:29" x14ac:dyDescent="0.25">
      <c r="A3" t="s">
        <v>90</v>
      </c>
      <c r="B3" s="1" t="s">
        <v>209</v>
      </c>
      <c r="C3" s="50" cm="1">
        <f t="array" ref="C3">SUM(N(data_mod!C8:C69=A3))</f>
        <v>8</v>
      </c>
      <c r="D3" s="39" cm="1">
        <f t="array" ref="D3">SUM(N(data_mission=A3)*N(data_winner="none"))/SUM(N(data_mission=A3))</f>
        <v>0.375</v>
      </c>
      <c r="E3" s="60" cm="1">
        <f t="array" ref="E3">SUM(N(data_mission=A3)*data_turns)/SUM(N(data_mission=A3))</f>
        <v>5.75</v>
      </c>
      <c r="F3" s="38" cm="1">
        <f t="array" ref="F3">SUM(N(data_mission=A3)*(_xlfn.BYROW(_xlfn.HSTACK(N(data_winner="a")*N(data_role_a="attacker"),N(data_winner="b")*N(data_role_b="attacker")),_xlfn.LAMBDA(_xlpm.row,SUM(_xlpm.row)))))/SUM(N(data_mission=A3))</f>
        <v>0.625</v>
      </c>
      <c r="G3" s="60" cm="1">
        <f t="array" ref="G3">SUM(N(data_mission=A3)*_xlfn.HSTACK((N(data_role_a="attacker")*data_score_a),(N(data_role_b="attacker")*data_score_b)))/SUM(N(data_mission=A3))</f>
        <v>5.125</v>
      </c>
      <c r="H3" s="60" cm="1">
        <f t="array" ref="H3">SUM(N(data_mission=A3)*_xlfn.HSTACK((N(data_role_a="attacker")*data_units_a),(N(data_role_b="attacker")*data_units_b)))/SUM(N(data_mission=A3))</f>
        <v>1.375</v>
      </c>
      <c r="I3" s="58">
        <f t="shared" ref="I3:I20" si="0">T3/H3</f>
        <v>0.90909090909090906</v>
      </c>
      <c r="J3" s="38" cm="1">
        <f t="array" ref="J3">IF(SUM(N(data_mission=A3)*_xlfn.BYROW(_xlfn.HSTACK(N(data_role_a="attacker")*N(player_type_a="Infantry"),N(data_role_b="attacker")*N(player_type_b="Infantry")),_xlfn.LAMBDA(_xlpm.row,SUM(_xlpm.row))))=0,"-",(SUM(N(data_mission=A3)*N(data_role_a="attacker")*N(player_type_a="Infantry")*N(data_winner="a"))+SUM(N(data_mission=A3)*N(data_role_b="attacker")*N(player_type_b="Infantry")*N(data_winner="b")))/SUM(N(data_mission=A3)*_xlfn.BYROW(_xlfn.HSTACK(N(data_role_a="attacker")*N(player_type_a="Infantry"),N(data_role_b="attacker")*N(player_type_b="Infantry")),_xlfn.LAMBDA(_xlpm.row,SUM(_xlpm.row)))))</f>
        <v>1</v>
      </c>
      <c r="K3" s="56" cm="1">
        <f t="array" ref="K3">SUM(N(data_mission=A3)*_xlfn.BYROW(_xlfn.HSTACK(N(data_role_a="attacker")*N(player_type_a="Infantry"),N(data_role_b="attacker")*N(player_type_b="Infantry")),_xlfn.LAMBDA(_xlpm.row,SUM(_xlpm.row))))</f>
        <v>1</v>
      </c>
      <c r="L3" s="38" cm="1">
        <f t="array" ref="L3">IF(SUM(N(data_mission=A3)*_xlfn.BYROW(_xlfn.HSTACK(N(data_role_a="attacker")*N(player_type_a="Tank"),N(data_role_b="attacker")*N(player_type_b="Tank")),_xlfn.LAMBDA(_xlpm.row,SUM(_xlpm.row))))=0,"-",(SUM(N(data_mission=A3)*N(data_role_a="attacker")*N(player_type_a="Tank")*N(data_winner="a"))+SUM(N(data_mission=A3)*N(data_role_b="attacker")*N(player_type_b="Tank")*N(data_winner="b")))/SUM(N(data_mission=A3)*_xlfn.BYROW(_xlfn.HSTACK(N(data_role_a="attacker")*N(player_type_a="Tank"),N(data_role_b="attacker")*N(player_type_b="Tank")),_xlfn.LAMBDA(_xlpm.row,SUM(_xlpm.row)))))</f>
        <v>0.75</v>
      </c>
      <c r="M3" s="56" cm="1">
        <f t="array" ref="M3">SUM(N(data_mission=A3)*_xlfn.BYROW(_xlfn.HSTACK(N(data_role_a="attacker")*N(player_type_a="Tank"),N(data_role_b="attacker")*N(player_type_b="Tank")),_xlfn.LAMBDA(_xlpm.row,SUM(_xlpm.row))))</f>
        <v>4</v>
      </c>
      <c r="N3" s="38" cm="1">
        <f t="array" ref="N3">IF(SUM(N(data_mission=A3)*_xlfn.BYROW(_xlfn.HSTACK(N(data_role_a="attacker")*N(player_type_a="Mechanised Infantry"),N(data_role_b="attacker")*N(player_type_b="Mechanised Infantry")),_xlfn.LAMBDA(_xlpm.row,SUM(_xlpm.row))))=0,"-",(SUM(N(data_mission=A3)*N(data_role_a="attacker")*N(player_type_a="Mechanised Infantry")*N(data_winner="a"))+SUM(N(data_mission=A3)*N(data_role_b="attacker")*N(player_type_b="Mechanised Infantry")*N(data_winner="b")))/SUM(N(data_mission=A3)*_xlfn.BYROW(_xlfn.HSTACK(N(data_role_a="attacker")*N(player_type_a="Mechanised Infantry"),N(data_role_b="attacker")*N(player_type_b="Mechanised Infantry")),_xlfn.LAMBDA(_xlpm.row,SUM(_xlpm.row)))))</f>
        <v>1</v>
      </c>
      <c r="O3" s="56" cm="1">
        <f t="array" ref="O3">SUM(N(data_mission=A3)*_xlfn.BYROW(_xlfn.HSTACK(N(data_role_a="attacker")*N(player_type_a="Mechanised Infantry"),N(data_role_b="attacker")*N(player_type_b="Mechanised Infantry")),_xlfn.LAMBDA(_xlpm.row,SUM(_xlpm.row))))</f>
        <v>1</v>
      </c>
      <c r="P3" s="38" cm="1">
        <f t="array" ref="P3">IF(SUM(N(data_mission=A3)*_xlfn.BYROW(_xlfn.HSTACK(N(data_role_a="attacker")*N(NOT(ISERROR(SEARCH("Combined",player_type_a)))),N(data_role_b="attacker")*N(NOT(ISERROR(SEARCH("Combined",player_type_b))))),_xlfn.LAMBDA(_xlpm.row,SUM(_xlpm.row))))=0,"-",(SUM(N(data_mission=A3)*N(data_role_a="attacker")*N(NOT(ISERROR(SEARCH("Combined",player_type_a))))*N(data_winner="a"))+SUM(N(data_mission=A3)*N(data_role_b="attacker")*N(NOT(ISERROR(SEARCH("Combined",player_type_b))))*N(data_winner="b")))/SUM(N(data_mission=A3)*_xlfn.BYROW(_xlfn.HSTACK(N(data_role_a="attacker")*N(NOT(ISERROR(SEARCH("Combined",player_type_a)))),N(data_role_b="attacker")*N(NOT(ISERROR(SEARCH("Combined",player_type_b))))),_xlfn.LAMBDA(_xlpm.row,SUM(_xlpm.row)))))</f>
        <v>0</v>
      </c>
      <c r="Q3" s="56" cm="1">
        <f t="array" ref="Q3">SUM(N(data_mission=A3)*_xlfn.BYROW(_xlfn.HSTACK(N(data_role_a="attacker")*N(NOT(ISERROR(SEARCH("Combined",player_type_a)))),N(data_role_b="attacker")*N(NOT(ISERROR(SEARCH("Combined",player_type_b))))),_xlfn.LAMBDA(_xlpm.row,SUM(_xlpm.row))))</f>
        <v>2</v>
      </c>
      <c r="R3" s="38" cm="1">
        <f t="array" ref="R3">SUM(N(data_mission=A3)*(_xlfn.BYROW(_xlfn.HSTACK(N(data_winner="b")*N(data_role_a="attacker"),N(data_winner="a")*N(data_role_b="attacker")),_xlfn.LAMBDA(_xlpm.row,SUM(_xlpm.row)))))/SUM(N(data_mission=A3))</f>
        <v>0</v>
      </c>
      <c r="S3" s="60" cm="1">
        <f t="array" ref="S3">SUM(N(data_mission=A3)*_xlfn.HSTACK((N(data_role_a="attacker")*data_score_b),(N(data_role_b="attacker")*data_score_a)))/SUM(N(data_mission=A3))</f>
        <v>1.625</v>
      </c>
      <c r="T3" s="60" cm="1">
        <f t="array" ref="T3">SUM(N(data_mission=A3)*_xlfn.HSTACK((N(data_role_a="attacker")*data_units_b),(N(data_role_b="attacker")*data_units_a)))/SUM(N(data_mission=A3))</f>
        <v>1.25</v>
      </c>
      <c r="U3" s="58">
        <f t="shared" ref="U3:U20" si="1">H3/T3</f>
        <v>1.1000000000000001</v>
      </c>
      <c r="V3" s="38" cm="1">
        <f t="array" ref="V3">IF(SUM(N(data_mission=A3)*_xlfn.BYROW(_xlfn.HSTACK(N(data_role_a="defender")*N(player_type_a="Infantry"),N(data_role_b="defender")*N(player_type_b="Infantry")),_xlfn.LAMBDA(_xlpm.row,SUM(_xlpm.row))))=0,"-",(SUM(N(data_mission=A3)*N(data_role_a="defender")*N(player_type_a="Infantry")*N(data_winner="a"))+SUM(N(data_mission=A3)*N(data_role_b="defender")*N(player_type_b="Infantry")*N(data_winner="b")))/SUM(N(data_mission=A3)*_xlfn.BYROW(_xlfn.HSTACK(N(data_role_a="defender")*N(player_type_a="Infantry"),N(data_role_b="defender")*N(player_type_b="Infantry")),_xlfn.LAMBDA(_xlpm.row,SUM(_xlpm.row)))))</f>
        <v>0</v>
      </c>
      <c r="W3" s="51" cm="1">
        <f t="array" ref="W3">SUM(N(data_mission=A3)*_xlfn.BYROW(_xlfn.HSTACK(N(data_role_a="defender")*N(player_type_a="Infantry"),N(data_role_b="defender")*N(player_type_b="Infantry")),_xlfn.LAMBDA(_xlpm.row,SUM(_xlpm.row))))</f>
        <v>5</v>
      </c>
      <c r="X3" s="38" cm="1">
        <f t="array" ref="X3">IF(SUM(N(data_mission=A3)*_xlfn.BYROW(_xlfn.HSTACK(N(data_role_a="defender")*N(player_type_a="Tank"),N(data_role_b="defender")*N(player_type_b="Tank")),_xlfn.LAMBDA(_xlpm.row,SUM(_xlpm.row))))=0,"-",(SUM(N(data_mission=A3)*N(data_role_a="defender")*N(player_type_a="Tank")*N(data_winner="a"))+SUM(N(data_mission=A3)*N(data_role_b="defender")*N(player_type_b="Tank")*N(data_winner="b")))/SUM(N(data_mission=A3)*_xlfn.BYROW(_xlfn.HSTACK(N(data_role_a="defender")*N(player_type_a="Tank"),N(data_role_b="defender")*N(player_type_b="Tank")),_xlfn.LAMBDA(_xlpm.row,SUM(_xlpm.row)))))</f>
        <v>0</v>
      </c>
      <c r="Y3" s="52" cm="1">
        <f t="array" ref="Y3">SUM(N(data_mission=A3)*_xlfn.BYROW(_xlfn.HSTACK(N(data_role_a="defender")*N(player_type_a="Tank"),N(data_role_b="defender")*N(player_type_b="Tank")),_xlfn.LAMBDA(_xlpm.row,SUM(_xlpm.row))))</f>
        <v>1</v>
      </c>
      <c r="Z3" s="38" t="str" cm="1">
        <f t="array" ref="Z3">IF(SUM(N(data_mission=A3)*_xlfn.BYROW(_xlfn.HSTACK(N(data_role_a="defender")*N(player_type_a="Mechanised Infantry"),N(data_role_b="defender")*N(player_type_b="Mechanised Infantry")),_xlfn.LAMBDA(_xlpm.row,SUM(_xlpm.row))))=0,"-",(SUM(N(data_mission=A3)*N(data_role_a="defender")*N(player_type_a="Mechanised Infantry")*N(data_winner="a"))+SUM(N(data_mission=A3)*N(data_role_b="defender")*N(player_type_b="Mechanised Infantry")*N(data_winner="b")))/SUM(N(data_mission=A3)*_xlfn.BYROW(_xlfn.HSTACK(N(data_role_a="defender")*N(player_type_a="Mechanised Infantry"),N(data_role_b="defender")*N(player_type_b="Mechanised Infantry")),_xlfn.LAMBDA(_xlpm.row,SUM(_xlpm.row)))))</f>
        <v>-</v>
      </c>
      <c r="AA3" s="52" cm="1">
        <f t="array" ref="AA3">SUM(N(data_mission=A3)*_xlfn.BYROW(_xlfn.HSTACK(N(data_role_a="defender")*N(player_type_a="Mechanised Infantry"),N(data_role_b="defender")*N(player_type_b="Mechanised Infantry")),_xlfn.LAMBDA(_xlpm.row,SUM(_xlpm.row))))</f>
        <v>0</v>
      </c>
      <c r="AB3" s="38" cm="1">
        <f t="array" ref="AB3">IF(SUM(N(data_mission=A3)*_xlfn.BYROW(_xlfn.HSTACK(N(data_role_a="defender")*N(NOT(ISERROR(SEARCH("Combined",player_type_a)))),N(data_role_b="defender")*N(NOT(ISERROR(SEARCH("Combined",player_type_b))))),_xlfn.LAMBDA(_xlpm.row,SUM(_xlpm.row))))=0,"-",(SUM(N(data_mission=A3)*N(data_role_a="defender")*N(NOT(ISERROR(SEARCH("Combined",player_type_a))))*N(data_winner="a"))+SUM(N(data_mission=A3)*N(data_role_b="defender")*N(NOT(ISERROR(SEARCH("Combined",player_type_b))))*N(data_winner="b")))/SUM(N(data_mission=A3)*_xlfn.BYROW(_xlfn.HSTACK(N(data_role_a="defender")*N(NOT(ISERROR(SEARCH("Combined",player_type_a)))),N(data_role_b="defender")*N(NOT(ISERROR(SEARCH("Combined",player_type_b))))),_xlfn.LAMBDA(_xlpm.row,SUM(_xlpm.row)))))</f>
        <v>0</v>
      </c>
      <c r="AC3" s="52" cm="1">
        <f t="array" ref="AC3">SUM(N(data_mission=A3)*_xlfn.BYROW(_xlfn.HSTACK(N(data_role_a="defender")*N(NOT(ISERROR(SEARCH("Combined",player_type_a)))),N(data_role_b="defender")*N(NOT(ISERROR(SEARCH("Combined",player_type_b))))),_xlfn.LAMBDA(_xlpm.row,SUM(_xlpm.row))))</f>
        <v>2</v>
      </c>
    </row>
    <row r="4" spans="1:29" x14ac:dyDescent="0.25">
      <c r="A4" t="s">
        <v>95</v>
      </c>
      <c r="B4" s="1" t="s">
        <v>210</v>
      </c>
      <c r="C4" s="50" cm="1">
        <f t="array" ref="C4">SUM(N(data_mod!C13:C74=A4))</f>
        <v>3</v>
      </c>
      <c r="D4" s="39" cm="1">
        <f t="array" ref="D4">SUM(N(data_mission=A4)*N(data_winner="none"))/SUM(N(data_mission=A4))</f>
        <v>0.66666666666666663</v>
      </c>
      <c r="E4" s="60" cm="1">
        <f t="array" ref="E4">SUM(N(data_mission=A4)*data_turns)/SUM(N(data_mission=A4))</f>
        <v>5</v>
      </c>
      <c r="F4" s="38" cm="1">
        <f t="array" ref="F4">SUM(N(data_mission=A4)*(_xlfn.BYROW(_xlfn.HSTACK(N(data_winner="a")*N(data_role_a="attacker"),N(data_winner="b")*N(data_role_b="attacker")),_xlfn.LAMBDA(_xlpm.row,SUM(_xlpm.row)))))/SUM(N(data_mission=A4))</f>
        <v>0</v>
      </c>
      <c r="G4" s="60" cm="1">
        <f t="array" ref="G4">SUM(N(data_mission=A4)*_xlfn.HSTACK((N(data_role_a="attacker")*data_score_a),(N(data_role_b="attacker")*data_score_b)))/SUM(N(data_mission=A4))</f>
        <v>2</v>
      </c>
      <c r="H4" s="60" cm="1">
        <f t="array" ref="H4">SUM(N(data_mission=A4)*_xlfn.HSTACK((N(data_role_a="attacker")*data_units_a),(N(data_role_b="attacker")*data_units_b)))/SUM(N(data_mission=A4))</f>
        <v>2.3333333333333335</v>
      </c>
      <c r="I4" s="58">
        <f t="shared" si="0"/>
        <v>0.8571428571428571</v>
      </c>
      <c r="J4" s="38" t="str" cm="1">
        <f t="array" ref="J4">IF(SUM(N(data_mission=A4)*_xlfn.BYROW(_xlfn.HSTACK(N(data_role_a="attacker")*N(player_type_a="Infantry"),N(data_role_b="attacker")*N(player_type_b="Infantry")),_xlfn.LAMBDA(_xlpm.row,SUM(_xlpm.row))))=0,"-",(SUM(N(data_mission=A4)*N(data_role_a="attacker")*N(player_type_a="Infantry")*N(data_winner="a"))+SUM(N(data_mission=A4)*N(data_role_b="attacker")*N(player_type_b="Infantry")*N(data_winner="b")))/SUM(N(data_mission=A4)*_xlfn.BYROW(_xlfn.HSTACK(N(data_role_a="attacker")*N(player_type_a="Infantry"),N(data_role_b="attacker")*N(player_type_b="Infantry")),_xlfn.LAMBDA(_xlpm.row,SUM(_xlpm.row)))))</f>
        <v>-</v>
      </c>
      <c r="K4" s="56" cm="1">
        <f t="array" ref="K4">SUM(N(data_mission=A4)*_xlfn.BYROW(_xlfn.HSTACK(N(data_role_a="attacker")*N(player_type_a="Infantry"),N(data_role_b="attacker")*N(player_type_b="Infantry")),_xlfn.LAMBDA(_xlpm.row,SUM(_xlpm.row))))</f>
        <v>0</v>
      </c>
      <c r="L4" s="38" cm="1">
        <f t="array" ref="L4">IF(SUM(N(data_mission=A4)*_xlfn.BYROW(_xlfn.HSTACK(N(data_role_a="attacker")*N(player_type_a="Tank"),N(data_role_b="attacker")*N(player_type_b="Tank")),_xlfn.LAMBDA(_xlpm.row,SUM(_xlpm.row))))=0,"-",(SUM(N(data_mission=A4)*N(data_role_a="attacker")*N(player_type_a="Tank")*N(data_winner="a"))+SUM(N(data_mission=A4)*N(data_role_b="attacker")*N(player_type_b="Tank")*N(data_winner="b")))/SUM(N(data_mission=A4)*_xlfn.BYROW(_xlfn.HSTACK(N(data_role_a="attacker")*N(player_type_a="Tank"),N(data_role_b="attacker")*N(player_type_b="Tank")),_xlfn.LAMBDA(_xlpm.row,SUM(_xlpm.row)))))</f>
        <v>0</v>
      </c>
      <c r="M4" s="56" cm="1">
        <f t="array" ref="M4">SUM(N(data_mission=A4)*_xlfn.BYROW(_xlfn.HSTACK(N(data_role_a="attacker")*N(player_type_a="Tank"),N(data_role_b="attacker")*N(player_type_b="Tank")),_xlfn.LAMBDA(_xlpm.row,SUM(_xlpm.row))))</f>
        <v>2</v>
      </c>
      <c r="N4" s="38" t="str" cm="1">
        <f t="array" ref="N4">IF(SUM(N(data_mission=A4)*_xlfn.BYROW(_xlfn.HSTACK(N(data_role_a="attacker")*N(player_type_a="Mechanised Infantry"),N(data_role_b="attacker")*N(player_type_b="Mechanised Infantry")),_xlfn.LAMBDA(_xlpm.row,SUM(_xlpm.row))))=0,"-",(SUM(N(data_mission=A4)*N(data_role_a="attacker")*N(player_type_a="Mechanised Infantry")*N(data_winner="a"))+SUM(N(data_mission=A4)*N(data_role_b="attacker")*N(player_type_b="Mechanised Infantry")*N(data_winner="b")))/SUM(N(data_mission=A4)*_xlfn.BYROW(_xlfn.HSTACK(N(data_role_a="attacker")*N(player_type_a="Mechanised Infantry"),N(data_role_b="attacker")*N(player_type_b="Mechanised Infantry")),_xlfn.LAMBDA(_xlpm.row,SUM(_xlpm.row)))))</f>
        <v>-</v>
      </c>
      <c r="O4" s="56" cm="1">
        <f t="array" ref="O4">SUM(N(data_mission=A4)*_xlfn.BYROW(_xlfn.HSTACK(N(data_role_a="attacker")*N(player_type_a="Mechanised Infantry"),N(data_role_b="attacker")*N(player_type_b="Mechanised Infantry")),_xlfn.LAMBDA(_xlpm.row,SUM(_xlpm.row))))</f>
        <v>0</v>
      </c>
      <c r="P4" s="38" cm="1">
        <f t="array" ref="P4">IF(SUM(N(data_mission=A4)*_xlfn.BYROW(_xlfn.HSTACK(N(data_role_a="attacker")*N(NOT(ISERROR(SEARCH("Combined",player_type_a)))),N(data_role_b="attacker")*N(NOT(ISERROR(SEARCH("Combined",player_type_b))))),_xlfn.LAMBDA(_xlpm.row,SUM(_xlpm.row))))=0,"-",(SUM(N(data_mission=A4)*N(data_role_a="attacker")*N(NOT(ISERROR(SEARCH("Combined",player_type_a))))*N(data_winner="a"))+SUM(N(data_mission=A4)*N(data_role_b="attacker")*N(NOT(ISERROR(SEARCH("Combined",player_type_b))))*N(data_winner="b")))/SUM(N(data_mission=A4)*_xlfn.BYROW(_xlfn.HSTACK(N(data_role_a="attacker")*N(NOT(ISERROR(SEARCH("Combined",player_type_a)))),N(data_role_b="attacker")*N(NOT(ISERROR(SEARCH("Combined",player_type_b))))),_xlfn.LAMBDA(_xlpm.row,SUM(_xlpm.row)))))</f>
        <v>0</v>
      </c>
      <c r="Q4" s="56" cm="1">
        <f t="array" ref="Q4">SUM(N(data_mission=A4)*_xlfn.BYROW(_xlfn.HSTACK(N(data_role_a="attacker")*N(NOT(ISERROR(SEARCH("Combined",player_type_a)))),N(data_role_b="attacker")*N(NOT(ISERROR(SEARCH("Combined",player_type_b))))),_xlfn.LAMBDA(_xlpm.row,SUM(_xlpm.row))))</f>
        <v>1</v>
      </c>
      <c r="R4" s="38" cm="1">
        <f t="array" ref="R4">SUM(N(data_mission=A4)*(_xlfn.BYROW(_xlfn.HSTACK(N(data_winner="b")*N(data_role_a="attacker"),N(data_winner="a")*N(data_role_b="attacker")),_xlfn.LAMBDA(_xlpm.row,SUM(_xlpm.row)))))/SUM(N(data_mission=A4))</f>
        <v>0.33333333333333331</v>
      </c>
      <c r="S4" s="60" cm="1">
        <f t="array" ref="S4">SUM(N(data_mission=A4)*_xlfn.HSTACK((N(data_role_a="attacker")*data_score_b),(N(data_role_b="attacker")*data_score_a)))/SUM(N(data_mission=A4))</f>
        <v>3.6666666666666665</v>
      </c>
      <c r="T4" s="60" cm="1">
        <f t="array" ref="T4">SUM(N(data_mission=A4)*_xlfn.HSTACK((N(data_role_a="attacker")*data_units_b),(N(data_role_b="attacker")*data_units_a)))/SUM(N(data_mission=A4))</f>
        <v>2</v>
      </c>
      <c r="U4" s="58">
        <f t="shared" si="1"/>
        <v>1.1666666666666667</v>
      </c>
      <c r="V4" s="38" cm="1">
        <f t="array" ref="V4">IF(SUM(N(data_mission=A4)*_xlfn.BYROW(_xlfn.HSTACK(N(data_role_a="defender")*N(player_type_a="Infantry"),N(data_role_b="defender")*N(player_type_b="Infantry")),_xlfn.LAMBDA(_xlpm.row,SUM(_xlpm.row))))=0,"-",(SUM(N(data_mission=A4)*N(data_role_a="defender")*N(player_type_a="Infantry")*N(data_winner="a"))+SUM(N(data_mission=A4)*N(data_role_b="defender")*N(player_type_b="Infantry")*N(data_winner="b")))/SUM(N(data_mission=A4)*_xlfn.BYROW(_xlfn.HSTACK(N(data_role_a="defender")*N(player_type_a="Infantry"),N(data_role_b="defender")*N(player_type_b="Infantry")),_xlfn.LAMBDA(_xlpm.row,SUM(_xlpm.row)))))</f>
        <v>0</v>
      </c>
      <c r="W4" s="51" cm="1">
        <f t="array" ref="W4">SUM(N(data_mission=A4)*_xlfn.BYROW(_xlfn.HSTACK(N(data_role_a="defender")*N(player_type_a="Infantry"),N(data_role_b="defender")*N(player_type_b="Infantry")),_xlfn.LAMBDA(_xlpm.row,SUM(_xlpm.row))))</f>
        <v>2</v>
      </c>
      <c r="X4" s="38" t="str" cm="1">
        <f t="array" ref="X4">IF(SUM(N(data_mission=A4)*_xlfn.BYROW(_xlfn.HSTACK(N(data_role_a="defender")*N(player_type_a="Tank"),N(data_role_b="defender")*N(player_type_b="Tank")),_xlfn.LAMBDA(_xlpm.row,SUM(_xlpm.row))))=0,"-",(SUM(N(data_mission=A4)*N(data_role_a="defender")*N(player_type_a="Tank")*N(data_winner="a"))+SUM(N(data_mission=A4)*N(data_role_b="defender")*N(player_type_b="Tank")*N(data_winner="b")))/SUM(N(data_mission=A4)*_xlfn.BYROW(_xlfn.HSTACK(N(data_role_a="defender")*N(player_type_a="Tank"),N(data_role_b="defender")*N(player_type_b="Tank")),_xlfn.LAMBDA(_xlpm.row,SUM(_xlpm.row)))))</f>
        <v>-</v>
      </c>
      <c r="Y4" s="52" cm="1">
        <f t="array" ref="Y4">SUM(N(data_mission=A4)*_xlfn.BYROW(_xlfn.HSTACK(N(data_role_a="defender")*N(player_type_a="Tank"),N(data_role_b="defender")*N(player_type_b="Tank")),_xlfn.LAMBDA(_xlpm.row,SUM(_xlpm.row))))</f>
        <v>0</v>
      </c>
      <c r="Z4" s="38" t="str" cm="1">
        <f t="array" ref="Z4">IF(SUM(N(data_mission=A4)*_xlfn.BYROW(_xlfn.HSTACK(N(data_role_a="defender")*N(player_type_a="Mechanised Infantry"),N(data_role_b="defender")*N(player_type_b="Mechanised Infantry")),_xlfn.LAMBDA(_xlpm.row,SUM(_xlpm.row))))=0,"-",(SUM(N(data_mission=A4)*N(data_role_a="defender")*N(player_type_a="Mechanised Infantry")*N(data_winner="a"))+SUM(N(data_mission=A4)*N(data_role_b="defender")*N(player_type_b="Mechanised Infantry")*N(data_winner="b")))/SUM(N(data_mission=A4)*_xlfn.BYROW(_xlfn.HSTACK(N(data_role_a="defender")*N(player_type_a="Mechanised Infantry"),N(data_role_b="defender")*N(player_type_b="Mechanised Infantry")),_xlfn.LAMBDA(_xlpm.row,SUM(_xlpm.row)))))</f>
        <v>-</v>
      </c>
      <c r="AA4" s="52" cm="1">
        <f t="array" ref="AA4">SUM(N(data_mission=A4)*_xlfn.BYROW(_xlfn.HSTACK(N(data_role_a="defender")*N(player_type_a="Mechanised Infantry"),N(data_role_b="defender")*N(player_type_b="Mechanised Infantry")),_xlfn.LAMBDA(_xlpm.row,SUM(_xlpm.row))))</f>
        <v>0</v>
      </c>
      <c r="AB4" s="38" cm="1">
        <f t="array" ref="AB4">IF(SUM(N(data_mission=A4)*_xlfn.BYROW(_xlfn.HSTACK(N(data_role_a="defender")*N(NOT(ISERROR(SEARCH("Combined",player_type_a)))),N(data_role_b="defender")*N(NOT(ISERROR(SEARCH("Combined",player_type_b))))),_xlfn.LAMBDA(_xlpm.row,SUM(_xlpm.row))))=0,"-",(SUM(N(data_mission=A4)*N(data_role_a="defender")*N(NOT(ISERROR(SEARCH("Combined",player_type_a))))*N(data_winner="a"))+SUM(N(data_mission=A4)*N(data_role_b="defender")*N(NOT(ISERROR(SEARCH("Combined",player_type_b))))*N(data_winner="b")))/SUM(N(data_mission=A4)*_xlfn.BYROW(_xlfn.HSTACK(N(data_role_a="defender")*N(NOT(ISERROR(SEARCH("Combined",player_type_a)))),N(data_role_b="defender")*N(NOT(ISERROR(SEARCH("Combined",player_type_b))))),_xlfn.LAMBDA(_xlpm.row,SUM(_xlpm.row)))))</f>
        <v>1</v>
      </c>
      <c r="AC4" s="52" cm="1">
        <f t="array" ref="AC4">SUM(N(data_mission=A4)*_xlfn.BYROW(_xlfn.HSTACK(N(data_role_a="defender")*N(NOT(ISERROR(SEARCH("Combined",player_type_a)))),N(data_role_b="defender")*N(NOT(ISERROR(SEARCH("Combined",player_type_b))))),_xlfn.LAMBDA(_xlpm.row,SUM(_xlpm.row))))</f>
        <v>1</v>
      </c>
    </row>
    <row r="5" spans="1:29" x14ac:dyDescent="0.25">
      <c r="A5" t="s">
        <v>99</v>
      </c>
      <c r="B5" s="1" t="s">
        <v>212</v>
      </c>
      <c r="C5" s="50" cm="1">
        <f t="array" ref="C5">SUM(N(data_mod!C17:C78=A5))</f>
        <v>1</v>
      </c>
      <c r="D5" s="39" cm="1">
        <f t="array" ref="D5">SUM(N(data_mission=A5)*N(data_winner="none"))/SUM(N(data_mission=A5))</f>
        <v>0</v>
      </c>
      <c r="E5" s="60" cm="1">
        <f t="array" ref="E5">SUM(N(data_mission=A5)*data_turns)/SUM(N(data_mission=A5))</f>
        <v>4</v>
      </c>
      <c r="F5" s="38" cm="1">
        <f t="array" ref="F5">SUM(N(data_mission=A5)*(_xlfn.BYROW(_xlfn.HSTACK(N(data_winner="a")*N(data_role_a="attacker"),N(data_winner="b")*N(data_role_b="attacker")),_xlfn.LAMBDA(_xlpm.row,SUM(_xlpm.row)))))/SUM(N(data_mission=A5))</f>
        <v>0</v>
      </c>
      <c r="G5" s="60" cm="1">
        <f t="array" ref="G5">SUM(N(data_mission=A5)*_xlfn.HSTACK((N(data_role_a="attacker")*data_score_a),(N(data_role_b="attacker")*data_score_b)))/SUM(N(data_mission=A5))</f>
        <v>2</v>
      </c>
      <c r="H5" s="60" cm="1">
        <f t="array" ref="H5">SUM(N(data_mission=A5)*_xlfn.HSTACK((N(data_role_a="attacker")*data_units_a),(N(data_role_b="attacker")*data_units_b)))/SUM(N(data_mission=A5))</f>
        <v>2</v>
      </c>
      <c r="I5" s="58">
        <f t="shared" si="0"/>
        <v>1</v>
      </c>
      <c r="J5" s="38" t="str" cm="1">
        <f t="array" ref="J5">IF(SUM(N(data_mission=A5)*_xlfn.BYROW(_xlfn.HSTACK(N(data_role_a="attacker")*N(player_type_a="Infantry"),N(data_role_b="attacker")*N(player_type_b="Infantry")),_xlfn.LAMBDA(_xlpm.row,SUM(_xlpm.row))))=0,"-",(SUM(N(data_mission=A5)*N(data_role_a="attacker")*N(player_type_a="Infantry")*N(data_winner="a"))+SUM(N(data_mission=A5)*N(data_role_b="attacker")*N(player_type_b="Infantry")*N(data_winner="b")))/SUM(N(data_mission=A5)*_xlfn.BYROW(_xlfn.HSTACK(N(data_role_a="attacker")*N(player_type_a="Infantry"),N(data_role_b="attacker")*N(player_type_b="Infantry")),_xlfn.LAMBDA(_xlpm.row,SUM(_xlpm.row)))))</f>
        <v>-</v>
      </c>
      <c r="K5" s="56" cm="1">
        <f t="array" ref="K5">SUM(N(data_mission=A5)*_xlfn.BYROW(_xlfn.HSTACK(N(data_role_a="attacker")*N(player_type_a="Infantry"),N(data_role_b="attacker")*N(player_type_b="Infantry")),_xlfn.LAMBDA(_xlpm.row,SUM(_xlpm.row))))</f>
        <v>0</v>
      </c>
      <c r="L5" s="38" cm="1">
        <f t="array" ref="L5">IF(SUM(N(data_mission=A5)*_xlfn.BYROW(_xlfn.HSTACK(N(data_role_a="attacker")*N(player_type_a="Tank"),N(data_role_b="attacker")*N(player_type_b="Tank")),_xlfn.LAMBDA(_xlpm.row,SUM(_xlpm.row))))=0,"-",(SUM(N(data_mission=A5)*N(data_role_a="attacker")*N(player_type_a="Tank")*N(data_winner="a"))+SUM(N(data_mission=A5)*N(data_role_b="attacker")*N(player_type_b="Tank")*N(data_winner="b")))/SUM(N(data_mission=A5)*_xlfn.BYROW(_xlfn.HSTACK(N(data_role_a="attacker")*N(player_type_a="Tank"),N(data_role_b="attacker")*N(player_type_b="Tank")),_xlfn.LAMBDA(_xlpm.row,SUM(_xlpm.row)))))</f>
        <v>0</v>
      </c>
      <c r="M5" s="56" cm="1">
        <f t="array" ref="M5">SUM(N(data_mission=A5)*_xlfn.BYROW(_xlfn.HSTACK(N(data_role_a="attacker")*N(player_type_a="Tank"),N(data_role_b="attacker")*N(player_type_b="Tank")),_xlfn.LAMBDA(_xlpm.row,SUM(_xlpm.row))))</f>
        <v>1</v>
      </c>
      <c r="N5" s="38" t="str" cm="1">
        <f t="array" ref="N5">IF(SUM(N(data_mission=A5)*_xlfn.BYROW(_xlfn.HSTACK(N(data_role_a="attacker")*N(player_type_a="Mechanised Infantry"),N(data_role_b="attacker")*N(player_type_b="Mechanised Infantry")),_xlfn.LAMBDA(_xlpm.row,SUM(_xlpm.row))))=0,"-",(SUM(N(data_mission=A5)*N(data_role_a="attacker")*N(player_type_a="Mechanised Infantry")*N(data_winner="a"))+SUM(N(data_mission=A5)*N(data_role_b="attacker")*N(player_type_b="Mechanised Infantry")*N(data_winner="b")))/SUM(N(data_mission=A5)*_xlfn.BYROW(_xlfn.HSTACK(N(data_role_a="attacker")*N(player_type_a="Mechanised Infantry"),N(data_role_b="attacker")*N(player_type_b="Mechanised Infantry")),_xlfn.LAMBDA(_xlpm.row,SUM(_xlpm.row)))))</f>
        <v>-</v>
      </c>
      <c r="O5" s="56" cm="1">
        <f t="array" ref="O5">SUM(N(data_mission=A5)*_xlfn.BYROW(_xlfn.HSTACK(N(data_role_a="attacker")*N(player_type_a="Mechanised Infantry"),N(data_role_b="attacker")*N(player_type_b="Mechanised Infantry")),_xlfn.LAMBDA(_xlpm.row,SUM(_xlpm.row))))</f>
        <v>0</v>
      </c>
      <c r="P5" s="38" t="str" cm="1">
        <f t="array" ref="P5">IF(SUM(N(data_mission=A5)*_xlfn.BYROW(_xlfn.HSTACK(N(data_role_a="attacker")*N(NOT(ISERROR(SEARCH("Combined",player_type_a)))),N(data_role_b="attacker")*N(NOT(ISERROR(SEARCH("Combined",player_type_b))))),_xlfn.LAMBDA(_xlpm.row,SUM(_xlpm.row))))=0,"-",(SUM(N(data_mission=A5)*N(data_role_a="attacker")*N(NOT(ISERROR(SEARCH("Combined",player_type_a))))*N(data_winner="a"))+SUM(N(data_mission=A5)*N(data_role_b="attacker")*N(NOT(ISERROR(SEARCH("Combined",player_type_b))))*N(data_winner="b")))/SUM(N(data_mission=A5)*_xlfn.BYROW(_xlfn.HSTACK(N(data_role_a="attacker")*N(NOT(ISERROR(SEARCH("Combined",player_type_a)))),N(data_role_b="attacker")*N(NOT(ISERROR(SEARCH("Combined",player_type_b))))),_xlfn.LAMBDA(_xlpm.row,SUM(_xlpm.row)))))</f>
        <v>-</v>
      </c>
      <c r="Q5" s="56" cm="1">
        <f t="array" ref="Q5">SUM(N(data_mission=A5)*_xlfn.BYROW(_xlfn.HSTACK(N(data_role_a="attacker")*N(NOT(ISERROR(SEARCH("Combined",player_type_a)))),N(data_role_b="attacker")*N(NOT(ISERROR(SEARCH("Combined",player_type_b))))),_xlfn.LAMBDA(_xlpm.row,SUM(_xlpm.row))))</f>
        <v>0</v>
      </c>
      <c r="R5" s="38" cm="1">
        <f t="array" ref="R5">SUM(N(data_mission=A5)*(_xlfn.BYROW(_xlfn.HSTACK(N(data_winner="b")*N(data_role_a="attacker"),N(data_winner="a")*N(data_role_b="attacker")),_xlfn.LAMBDA(_xlpm.row,SUM(_xlpm.row)))))/SUM(N(data_mission=A5))</f>
        <v>1</v>
      </c>
      <c r="S5" s="60" cm="1">
        <f t="array" ref="S5">SUM(N(data_mission=A5)*_xlfn.HSTACK((N(data_role_a="attacker")*data_score_b),(N(data_role_b="attacker")*data_score_a)))/SUM(N(data_mission=A5))</f>
        <v>7</v>
      </c>
      <c r="T5" s="60" cm="1">
        <f t="array" ref="T5">SUM(N(data_mission=A5)*_xlfn.HSTACK((N(data_role_a="attacker")*data_units_b),(N(data_role_b="attacker")*data_units_a)))/SUM(N(data_mission=A5))</f>
        <v>2</v>
      </c>
      <c r="U5" s="58">
        <f t="shared" si="1"/>
        <v>1</v>
      </c>
      <c r="V5" s="38" t="str" cm="1">
        <f t="array" ref="V5">IF(SUM(N(data_mission=A5)*_xlfn.BYROW(_xlfn.HSTACK(N(data_role_a="defender")*N(player_type_a="Infantry"),N(data_role_b="defender")*N(player_type_b="Infantry")),_xlfn.LAMBDA(_xlpm.row,SUM(_xlpm.row))))=0,"-",(SUM(N(data_mission=A5)*N(data_role_a="defender")*N(player_type_a="Infantry")*N(data_winner="a"))+SUM(N(data_mission=A5)*N(data_role_b="defender")*N(player_type_b="Infantry")*N(data_winner="b")))/SUM(N(data_mission=A5)*_xlfn.BYROW(_xlfn.HSTACK(N(data_role_a="defender")*N(player_type_a="Infantry"),N(data_role_b="defender")*N(player_type_b="Infantry")),_xlfn.LAMBDA(_xlpm.row,SUM(_xlpm.row)))))</f>
        <v>-</v>
      </c>
      <c r="W5" s="51" cm="1">
        <f t="array" ref="W5">SUM(N(data_mission=A5)*_xlfn.BYROW(_xlfn.HSTACK(N(data_role_a="defender")*N(player_type_a="Infantry"),N(data_role_b="defender")*N(player_type_b="Infantry")),_xlfn.LAMBDA(_xlpm.row,SUM(_xlpm.row))))</f>
        <v>0</v>
      </c>
      <c r="X5" s="38" cm="1">
        <f t="array" ref="X5">IF(SUM(N(data_mission=A5)*_xlfn.BYROW(_xlfn.HSTACK(N(data_role_a="defender")*N(player_type_a="Tank"),N(data_role_b="defender")*N(player_type_b="Tank")),_xlfn.LAMBDA(_xlpm.row,SUM(_xlpm.row))))=0,"-",(SUM(N(data_mission=A5)*N(data_role_a="defender")*N(player_type_a="Tank")*N(data_winner="a"))+SUM(N(data_mission=A5)*N(data_role_b="defender")*N(player_type_b="Tank")*N(data_winner="b")))/SUM(N(data_mission=A5)*_xlfn.BYROW(_xlfn.HSTACK(N(data_role_a="defender")*N(player_type_a="Tank"),N(data_role_b="defender")*N(player_type_b="Tank")),_xlfn.LAMBDA(_xlpm.row,SUM(_xlpm.row)))))</f>
        <v>1</v>
      </c>
      <c r="Y5" s="52" cm="1">
        <f t="array" ref="Y5">SUM(N(data_mission=A5)*_xlfn.BYROW(_xlfn.HSTACK(N(data_role_a="defender")*N(player_type_a="Tank"),N(data_role_b="defender")*N(player_type_b="Tank")),_xlfn.LAMBDA(_xlpm.row,SUM(_xlpm.row))))</f>
        <v>1</v>
      </c>
      <c r="Z5" s="38" t="str" cm="1">
        <f t="array" ref="Z5">IF(SUM(N(data_mission=A5)*_xlfn.BYROW(_xlfn.HSTACK(N(data_role_a="defender")*N(player_type_a="Mechanised Infantry"),N(data_role_b="defender")*N(player_type_b="Mechanised Infantry")),_xlfn.LAMBDA(_xlpm.row,SUM(_xlpm.row))))=0,"-",(SUM(N(data_mission=A5)*N(data_role_a="defender")*N(player_type_a="Mechanised Infantry")*N(data_winner="a"))+SUM(N(data_mission=A5)*N(data_role_b="defender")*N(player_type_b="Mechanised Infantry")*N(data_winner="b")))/SUM(N(data_mission=A5)*_xlfn.BYROW(_xlfn.HSTACK(N(data_role_a="defender")*N(player_type_a="Mechanised Infantry"),N(data_role_b="defender")*N(player_type_b="Mechanised Infantry")),_xlfn.LAMBDA(_xlpm.row,SUM(_xlpm.row)))))</f>
        <v>-</v>
      </c>
      <c r="AA5" s="52" cm="1">
        <f t="array" ref="AA5">SUM(N(data_mission=A5)*_xlfn.BYROW(_xlfn.HSTACK(N(data_role_a="defender")*N(player_type_a="Mechanised Infantry"),N(data_role_b="defender")*N(player_type_b="Mechanised Infantry")),_xlfn.LAMBDA(_xlpm.row,SUM(_xlpm.row))))</f>
        <v>0</v>
      </c>
      <c r="AB5" s="38" t="str" cm="1">
        <f t="array" ref="AB5">IF(SUM(N(data_mission=A5)*_xlfn.BYROW(_xlfn.HSTACK(N(data_role_a="defender")*N(NOT(ISERROR(SEARCH("Combined",player_type_a)))),N(data_role_b="defender")*N(NOT(ISERROR(SEARCH("Combined",player_type_b))))),_xlfn.LAMBDA(_xlpm.row,SUM(_xlpm.row))))=0,"-",(SUM(N(data_mission=A5)*N(data_role_a="defender")*N(NOT(ISERROR(SEARCH("Combined",player_type_a))))*N(data_winner="a"))+SUM(N(data_mission=A5)*N(data_role_b="defender")*N(NOT(ISERROR(SEARCH("Combined",player_type_b))))*N(data_winner="b")))/SUM(N(data_mission=A5)*_xlfn.BYROW(_xlfn.HSTACK(N(data_role_a="defender")*N(NOT(ISERROR(SEARCH("Combined",player_type_a)))),N(data_role_b="defender")*N(NOT(ISERROR(SEARCH("Combined",player_type_b))))),_xlfn.LAMBDA(_xlpm.row,SUM(_xlpm.row)))))</f>
        <v>-</v>
      </c>
      <c r="AC5" s="52" cm="1">
        <f t="array" ref="AC5">SUM(N(data_mission=A5)*_xlfn.BYROW(_xlfn.HSTACK(N(data_role_a="defender")*N(NOT(ISERROR(SEARCH("Combined",player_type_a)))),N(data_role_b="defender")*N(NOT(ISERROR(SEARCH("Combined",player_type_b))))),_xlfn.LAMBDA(_xlpm.row,SUM(_xlpm.row))))</f>
        <v>0</v>
      </c>
    </row>
    <row r="6" spans="1:29" x14ac:dyDescent="0.25">
      <c r="A6" t="s">
        <v>96</v>
      </c>
      <c r="B6" s="1" t="s">
        <v>220</v>
      </c>
      <c r="C6" s="50" cm="1">
        <f t="array" ref="C6">SUM(N(data_mod!C14:C75=A6))</f>
        <v>3</v>
      </c>
      <c r="D6" s="39" cm="1">
        <f t="array" ref="D6">SUM(N(data_mission=A6)*N(data_winner="none"))/SUM(N(data_mission=A6))</f>
        <v>0.33333333333333331</v>
      </c>
      <c r="E6" s="60" cm="1">
        <f t="array" ref="E6">SUM(N(data_mission=A6)*data_turns)/SUM(N(data_mission=A6))</f>
        <v>6.333333333333333</v>
      </c>
      <c r="F6" s="38" cm="1">
        <f t="array" ref="F6">SUM(N(data_mission=A6)*(_xlfn.BYROW(_xlfn.HSTACK(N(data_winner="a")*N(data_role_a="attacker"),N(data_winner="b")*N(data_role_b="attacker")),_xlfn.LAMBDA(_xlpm.row,SUM(_xlpm.row)))))/SUM(N(data_mission=A6))</f>
        <v>0.33333333333333331</v>
      </c>
      <c r="G6" s="60" cm="1">
        <f t="array" ref="G6">SUM(N(data_mission=A6)*_xlfn.HSTACK((N(data_role_a="attacker")*data_score_a),(N(data_role_b="attacker")*data_score_b)))/SUM(N(data_mission=A6))</f>
        <v>3.3333333333333335</v>
      </c>
      <c r="H6" s="60" cm="1">
        <f t="array" ref="H6">SUM(N(data_mission=A6)*_xlfn.HSTACK((N(data_role_a="attacker")*data_units_a),(N(data_role_b="attacker")*data_units_b)))/SUM(N(data_mission=A6))</f>
        <v>4.666666666666667</v>
      </c>
      <c r="I6" s="58">
        <f t="shared" si="0"/>
        <v>0.42857142857142855</v>
      </c>
      <c r="J6" s="38" t="str" cm="1">
        <f t="array" ref="J6">IF(SUM(N(data_mission=A6)*_xlfn.BYROW(_xlfn.HSTACK(N(data_role_a="attacker")*N(player_type_a="Infantry"),N(data_role_b="attacker")*N(player_type_b="Infantry")),_xlfn.LAMBDA(_xlpm.row,SUM(_xlpm.row))))=0,"-",(SUM(N(data_mission=A6)*N(data_role_a="attacker")*N(player_type_a="Infantry")*N(data_winner="a"))+SUM(N(data_mission=A6)*N(data_role_b="attacker")*N(player_type_b="Infantry")*N(data_winner="b")))/SUM(N(data_mission=A6)*_xlfn.BYROW(_xlfn.HSTACK(N(data_role_a="attacker")*N(player_type_a="Infantry"),N(data_role_b="attacker")*N(player_type_b="Infantry")),_xlfn.LAMBDA(_xlpm.row,SUM(_xlpm.row)))))</f>
        <v>-</v>
      </c>
      <c r="K6" s="56" cm="1">
        <f t="array" ref="K6">SUM(N(data_mission=A6)*_xlfn.BYROW(_xlfn.HSTACK(N(data_role_a="attacker")*N(player_type_a="Infantry"),N(data_role_b="attacker")*N(player_type_b="Infantry")),_xlfn.LAMBDA(_xlpm.row,SUM(_xlpm.row))))</f>
        <v>0</v>
      </c>
      <c r="L6" s="38" cm="1">
        <f t="array" ref="L6">IF(SUM(N(data_mission=A6)*_xlfn.BYROW(_xlfn.HSTACK(N(data_role_a="attacker")*N(player_type_a="Tank"),N(data_role_b="attacker")*N(player_type_b="Tank")),_xlfn.LAMBDA(_xlpm.row,SUM(_xlpm.row))))=0,"-",(SUM(N(data_mission=A6)*N(data_role_a="attacker")*N(player_type_a="Tank")*N(data_winner="a"))+SUM(N(data_mission=A6)*N(data_role_b="attacker")*N(player_type_b="Tank")*N(data_winner="b")))/SUM(N(data_mission=A6)*_xlfn.BYROW(_xlfn.HSTACK(N(data_role_a="attacker")*N(player_type_a="Tank"),N(data_role_b="attacker")*N(player_type_b="Tank")),_xlfn.LAMBDA(_xlpm.row,SUM(_xlpm.row)))))</f>
        <v>0.5</v>
      </c>
      <c r="M6" s="56" cm="1">
        <f t="array" ref="M6">SUM(N(data_mission=A6)*_xlfn.BYROW(_xlfn.HSTACK(N(data_role_a="attacker")*N(player_type_a="Tank"),N(data_role_b="attacker")*N(player_type_b="Tank")),_xlfn.LAMBDA(_xlpm.row,SUM(_xlpm.row))))</f>
        <v>2</v>
      </c>
      <c r="N6" s="38" cm="1">
        <f t="array" ref="N6">IF(SUM(N(data_mission=A6)*_xlfn.BYROW(_xlfn.HSTACK(N(data_role_a="attacker")*N(player_type_a="Mechanised Infantry"),N(data_role_b="attacker")*N(player_type_b="Mechanised Infantry")),_xlfn.LAMBDA(_xlpm.row,SUM(_xlpm.row))))=0,"-",(SUM(N(data_mission=A6)*N(data_role_a="attacker")*N(player_type_a="Mechanised Infantry")*N(data_winner="a"))+SUM(N(data_mission=A6)*N(data_role_b="attacker")*N(player_type_b="Mechanised Infantry")*N(data_winner="b")))/SUM(N(data_mission=A6)*_xlfn.BYROW(_xlfn.HSTACK(N(data_role_a="attacker")*N(player_type_a="Mechanised Infantry"),N(data_role_b="attacker")*N(player_type_b="Mechanised Infantry")),_xlfn.LAMBDA(_xlpm.row,SUM(_xlpm.row)))))</f>
        <v>0</v>
      </c>
      <c r="O6" s="56" cm="1">
        <f t="array" ref="O6">SUM(N(data_mission=A6)*_xlfn.BYROW(_xlfn.HSTACK(N(data_role_a="attacker")*N(player_type_a="Mechanised Infantry"),N(data_role_b="attacker")*N(player_type_b="Mechanised Infantry")),_xlfn.LAMBDA(_xlpm.row,SUM(_xlpm.row))))</f>
        <v>1</v>
      </c>
      <c r="P6" s="38" t="str" cm="1">
        <f t="array" ref="P6">IF(SUM(N(data_mission=A6)*_xlfn.BYROW(_xlfn.HSTACK(N(data_role_a="attacker")*N(NOT(ISERROR(SEARCH("Combined",player_type_a)))),N(data_role_b="attacker")*N(NOT(ISERROR(SEARCH("Combined",player_type_b))))),_xlfn.LAMBDA(_xlpm.row,SUM(_xlpm.row))))=0,"-",(SUM(N(data_mission=A6)*N(data_role_a="attacker")*N(NOT(ISERROR(SEARCH("Combined",player_type_a))))*N(data_winner="a"))+SUM(N(data_mission=A6)*N(data_role_b="attacker")*N(NOT(ISERROR(SEARCH("Combined",player_type_b))))*N(data_winner="b")))/SUM(N(data_mission=A6)*_xlfn.BYROW(_xlfn.HSTACK(N(data_role_a="attacker")*N(NOT(ISERROR(SEARCH("Combined",player_type_a)))),N(data_role_b="attacker")*N(NOT(ISERROR(SEARCH("Combined",player_type_b))))),_xlfn.LAMBDA(_xlpm.row,SUM(_xlpm.row)))))</f>
        <v>-</v>
      </c>
      <c r="Q6" s="56" cm="1">
        <f t="array" ref="Q6">SUM(N(data_mission=A6)*_xlfn.BYROW(_xlfn.HSTACK(N(data_role_a="attacker")*N(NOT(ISERROR(SEARCH("Combined",player_type_a)))),N(data_role_b="attacker")*N(NOT(ISERROR(SEARCH("Combined",player_type_b))))),_xlfn.LAMBDA(_xlpm.row,SUM(_xlpm.row))))</f>
        <v>0</v>
      </c>
      <c r="R6" s="38" cm="1">
        <f t="array" ref="R6">SUM(N(data_mission=A6)*(_xlfn.BYROW(_xlfn.HSTACK(N(data_winner="b")*N(data_role_a="attacker"),N(data_winner="a")*N(data_role_b="attacker")),_xlfn.LAMBDA(_xlpm.row,SUM(_xlpm.row)))))/SUM(N(data_mission=A6))</f>
        <v>0.33333333333333331</v>
      </c>
      <c r="S6" s="60" cm="1">
        <f t="array" ref="S6">SUM(N(data_mission=A6)*_xlfn.HSTACK((N(data_role_a="attacker")*data_score_b),(N(data_role_b="attacker")*data_score_a)))/SUM(N(data_mission=A6))</f>
        <v>4.666666666666667</v>
      </c>
      <c r="T6" s="60" cm="1">
        <f t="array" ref="T6">SUM(N(data_mission=A6)*_xlfn.HSTACK((N(data_role_a="attacker")*data_units_b),(N(data_role_b="attacker")*data_units_a)))/SUM(N(data_mission=A6))</f>
        <v>2</v>
      </c>
      <c r="U6" s="58">
        <f t="shared" si="1"/>
        <v>2.3333333333333335</v>
      </c>
      <c r="V6" s="38" t="str" cm="1">
        <f t="array" ref="V6">IF(SUM(N(data_mission=A6)*_xlfn.BYROW(_xlfn.HSTACK(N(data_role_a="defender")*N(player_type_a="Infantry"),N(data_role_b="defender")*N(player_type_b="Infantry")),_xlfn.LAMBDA(_xlpm.row,SUM(_xlpm.row))))=0,"-",(SUM(N(data_mission=A6)*N(data_role_a="defender")*N(player_type_a="Infantry")*N(data_winner="a"))+SUM(N(data_mission=A6)*N(data_role_b="defender")*N(player_type_b="Infantry")*N(data_winner="b")))/SUM(N(data_mission=A6)*_xlfn.BYROW(_xlfn.HSTACK(N(data_role_a="defender")*N(player_type_a="Infantry"),N(data_role_b="defender")*N(player_type_b="Infantry")),_xlfn.LAMBDA(_xlpm.row,SUM(_xlpm.row)))))</f>
        <v>-</v>
      </c>
      <c r="W6" s="51" cm="1">
        <f t="array" ref="W6">SUM(N(data_mission=A6)*_xlfn.BYROW(_xlfn.HSTACK(N(data_role_a="defender")*N(player_type_a="Infantry"),N(data_role_b="defender")*N(player_type_b="Infantry")),_xlfn.LAMBDA(_xlpm.row,SUM(_xlpm.row))))</f>
        <v>0</v>
      </c>
      <c r="X6" s="38" t="str" cm="1">
        <f t="array" ref="X6">IF(SUM(N(data_mission=A6)*_xlfn.BYROW(_xlfn.HSTACK(N(data_role_a="defender")*N(player_type_a="Tank"),N(data_role_b="defender")*N(player_type_b="Tank")),_xlfn.LAMBDA(_xlpm.row,SUM(_xlpm.row))))=0,"-",(SUM(N(data_mission=A6)*N(data_role_a="defender")*N(player_type_a="Tank")*N(data_winner="a"))+SUM(N(data_mission=A6)*N(data_role_b="defender")*N(player_type_b="Tank")*N(data_winner="b")))/SUM(N(data_mission=A6)*_xlfn.BYROW(_xlfn.HSTACK(N(data_role_a="defender")*N(player_type_a="Tank"),N(data_role_b="defender")*N(player_type_b="Tank")),_xlfn.LAMBDA(_xlpm.row,SUM(_xlpm.row)))))</f>
        <v>-</v>
      </c>
      <c r="Y6" s="52" cm="1">
        <f t="array" ref="Y6">SUM(N(data_mission=A6)*_xlfn.BYROW(_xlfn.HSTACK(N(data_role_a="defender")*N(player_type_a="Tank"),N(data_role_b="defender")*N(player_type_b="Tank")),_xlfn.LAMBDA(_xlpm.row,SUM(_xlpm.row))))</f>
        <v>0</v>
      </c>
      <c r="Z6" s="38" cm="1">
        <f t="array" ref="Z6">IF(SUM(N(data_mission=A6)*_xlfn.BYROW(_xlfn.HSTACK(N(data_role_a="defender")*N(player_type_a="Mechanised Infantry"),N(data_role_b="defender")*N(player_type_b="Mechanised Infantry")),_xlfn.LAMBDA(_xlpm.row,SUM(_xlpm.row))))=0,"-",(SUM(N(data_mission=A6)*N(data_role_a="defender")*N(player_type_a="Mechanised Infantry")*N(data_winner="a"))+SUM(N(data_mission=A6)*N(data_role_b="defender")*N(player_type_b="Mechanised Infantry")*N(data_winner="b")))/SUM(N(data_mission=A6)*_xlfn.BYROW(_xlfn.HSTACK(N(data_role_a="defender")*N(player_type_a="Mechanised Infantry"),N(data_role_b="defender")*N(player_type_b="Mechanised Infantry")),_xlfn.LAMBDA(_xlpm.row,SUM(_xlpm.row)))))</f>
        <v>0</v>
      </c>
      <c r="AA6" s="52" cm="1">
        <f t="array" ref="AA6">SUM(N(data_mission=A6)*_xlfn.BYROW(_xlfn.HSTACK(N(data_role_a="defender")*N(player_type_a="Mechanised Infantry"),N(data_role_b="defender")*N(player_type_b="Mechanised Infantry")),_xlfn.LAMBDA(_xlpm.row,SUM(_xlpm.row))))</f>
        <v>1</v>
      </c>
      <c r="AB6" s="38" cm="1">
        <f t="array" ref="AB6">IF(SUM(N(data_mission=A6)*_xlfn.BYROW(_xlfn.HSTACK(N(data_role_a="defender")*N(NOT(ISERROR(SEARCH("Combined",player_type_a)))),N(data_role_b="defender")*N(NOT(ISERROR(SEARCH("Combined",player_type_b))))),_xlfn.LAMBDA(_xlpm.row,SUM(_xlpm.row))))=0,"-",(SUM(N(data_mission=A6)*N(data_role_a="defender")*N(NOT(ISERROR(SEARCH("Combined",player_type_a))))*N(data_winner="a"))+SUM(N(data_mission=A6)*N(data_role_b="defender")*N(NOT(ISERROR(SEARCH("Combined",player_type_b))))*N(data_winner="b")))/SUM(N(data_mission=A6)*_xlfn.BYROW(_xlfn.HSTACK(N(data_role_a="defender")*N(NOT(ISERROR(SEARCH("Combined",player_type_a)))),N(data_role_b="defender")*N(NOT(ISERROR(SEARCH("Combined",player_type_b))))),_xlfn.LAMBDA(_xlpm.row,SUM(_xlpm.row)))))</f>
        <v>0.5</v>
      </c>
      <c r="AC6" s="52" cm="1">
        <f t="array" ref="AC6">SUM(N(data_mission=A6)*_xlfn.BYROW(_xlfn.HSTACK(N(data_role_a="defender")*N(NOT(ISERROR(SEARCH("Combined",player_type_a)))),N(data_role_b="defender")*N(NOT(ISERROR(SEARCH("Combined",player_type_b))))),_xlfn.LAMBDA(_xlpm.row,SUM(_xlpm.row))))</f>
        <v>2</v>
      </c>
    </row>
    <row r="7" spans="1:29" x14ac:dyDescent="0.25">
      <c r="A7" t="s">
        <v>101</v>
      </c>
      <c r="B7" s="1" t="s">
        <v>222</v>
      </c>
      <c r="C7" s="50" cm="1">
        <f t="array" ref="C7">SUM(N(data_mod!C19:C80=A7))</f>
        <v>4</v>
      </c>
      <c r="D7" s="39" cm="1">
        <f t="array" ref="D7">SUM(N(data_mission=A7)*N(data_winner="none"))/SUM(N(data_mission=A7))</f>
        <v>0</v>
      </c>
      <c r="E7" s="60" cm="1">
        <f t="array" ref="E7">SUM(N(data_mission=A7)*data_turns)/SUM(N(data_mission=A7))</f>
        <v>6.75</v>
      </c>
      <c r="F7" s="38" cm="1">
        <f t="array" ref="F7">SUM(N(data_mission=A7)*(_xlfn.BYROW(_xlfn.HSTACK(N(data_winner="a")*N(data_role_a="attacker"),N(data_winner="b")*N(data_role_b="attacker")),_xlfn.LAMBDA(_xlpm.row,SUM(_xlpm.row)))))/SUM(N(data_mission=A7))</f>
        <v>0.25</v>
      </c>
      <c r="G7" s="60" cm="1">
        <f t="array" ref="G7">SUM(N(data_mission=A7)*_xlfn.HSTACK((N(data_role_a="attacker")*data_score_a),(N(data_role_b="attacker")*data_score_b)))/SUM(N(data_mission=A7))</f>
        <v>3.75</v>
      </c>
      <c r="H7" s="60" cm="1">
        <f t="array" ref="H7">SUM(N(data_mission=A7)*_xlfn.HSTACK((N(data_role_a="attacker")*data_units_a),(N(data_role_b="attacker")*data_units_b)))/SUM(N(data_mission=A7))</f>
        <v>2.75</v>
      </c>
      <c r="I7" s="58">
        <f t="shared" si="0"/>
        <v>0.72727272727272729</v>
      </c>
      <c r="J7" s="38" cm="1">
        <f t="array" ref="J7">IF(SUM(N(data_mission=A7)*_xlfn.BYROW(_xlfn.HSTACK(N(data_role_a="attacker")*N(player_type_a="Infantry"),N(data_role_b="attacker")*N(player_type_b="Infantry")),_xlfn.LAMBDA(_xlpm.row,SUM(_xlpm.row))))=0,"-",(SUM(N(data_mission=A7)*N(data_role_a="attacker")*N(player_type_a="Infantry")*N(data_winner="a"))+SUM(N(data_mission=A7)*N(data_role_b="attacker")*N(player_type_b="Infantry")*N(data_winner="b")))/SUM(N(data_mission=A7)*_xlfn.BYROW(_xlfn.HSTACK(N(data_role_a="attacker")*N(player_type_a="Infantry"),N(data_role_b="attacker")*N(player_type_b="Infantry")),_xlfn.LAMBDA(_xlpm.row,SUM(_xlpm.row)))))</f>
        <v>0</v>
      </c>
      <c r="K7" s="56" cm="1">
        <f t="array" ref="K7">SUM(N(data_mission=A7)*_xlfn.BYROW(_xlfn.HSTACK(N(data_role_a="attacker")*N(player_type_a="Infantry"),N(data_role_b="attacker")*N(player_type_b="Infantry")),_xlfn.LAMBDA(_xlpm.row,SUM(_xlpm.row))))</f>
        <v>1</v>
      </c>
      <c r="L7" s="38" cm="1">
        <f t="array" ref="L7">IF(SUM(N(data_mission=A7)*_xlfn.BYROW(_xlfn.HSTACK(N(data_role_a="attacker")*N(player_type_a="Tank"),N(data_role_b="attacker")*N(player_type_b="Tank")),_xlfn.LAMBDA(_xlpm.row,SUM(_xlpm.row))))=0,"-",(SUM(N(data_mission=A7)*N(data_role_a="attacker")*N(player_type_a="Tank")*N(data_winner="a"))+SUM(N(data_mission=A7)*N(data_role_b="attacker")*N(player_type_b="Tank")*N(data_winner="b")))/SUM(N(data_mission=A7)*_xlfn.BYROW(_xlfn.HSTACK(N(data_role_a="attacker")*N(player_type_a="Tank"),N(data_role_b="attacker")*N(player_type_b="Tank")),_xlfn.LAMBDA(_xlpm.row,SUM(_xlpm.row)))))</f>
        <v>0.33333333333333331</v>
      </c>
      <c r="M7" s="56" cm="1">
        <f t="array" ref="M7">SUM(N(data_mission=A7)*_xlfn.BYROW(_xlfn.HSTACK(N(data_role_a="attacker")*N(player_type_a="Tank"),N(data_role_b="attacker")*N(player_type_b="Tank")),_xlfn.LAMBDA(_xlpm.row,SUM(_xlpm.row))))</f>
        <v>3</v>
      </c>
      <c r="N7" s="38" t="str" cm="1">
        <f t="array" ref="N7">IF(SUM(N(data_mission=A7)*_xlfn.BYROW(_xlfn.HSTACK(N(data_role_a="attacker")*N(player_type_a="Mechanised Infantry"),N(data_role_b="attacker")*N(player_type_b="Mechanised Infantry")),_xlfn.LAMBDA(_xlpm.row,SUM(_xlpm.row))))=0,"-",(SUM(N(data_mission=A7)*N(data_role_a="attacker")*N(player_type_a="Mechanised Infantry")*N(data_winner="a"))+SUM(N(data_mission=A7)*N(data_role_b="attacker")*N(player_type_b="Mechanised Infantry")*N(data_winner="b")))/SUM(N(data_mission=A7)*_xlfn.BYROW(_xlfn.HSTACK(N(data_role_a="attacker")*N(player_type_a="Mechanised Infantry"),N(data_role_b="attacker")*N(player_type_b="Mechanised Infantry")),_xlfn.LAMBDA(_xlpm.row,SUM(_xlpm.row)))))</f>
        <v>-</v>
      </c>
      <c r="O7" s="56" cm="1">
        <f t="array" ref="O7">SUM(N(data_mission=A7)*_xlfn.BYROW(_xlfn.HSTACK(N(data_role_a="attacker")*N(player_type_a="Mechanised Infantry"),N(data_role_b="attacker")*N(player_type_b="Mechanised Infantry")),_xlfn.LAMBDA(_xlpm.row,SUM(_xlpm.row))))</f>
        <v>0</v>
      </c>
      <c r="P7" s="38" t="str" cm="1">
        <f t="array" ref="P7">IF(SUM(N(data_mission=A7)*_xlfn.BYROW(_xlfn.HSTACK(N(data_role_a="attacker")*N(NOT(ISERROR(SEARCH("Combined",player_type_a)))),N(data_role_b="attacker")*N(NOT(ISERROR(SEARCH("Combined",player_type_b))))),_xlfn.LAMBDA(_xlpm.row,SUM(_xlpm.row))))=0,"-",(SUM(N(data_mission=A7)*N(data_role_a="attacker")*N(NOT(ISERROR(SEARCH("Combined",player_type_a))))*N(data_winner="a"))+SUM(N(data_mission=A7)*N(data_role_b="attacker")*N(NOT(ISERROR(SEARCH("Combined",player_type_b))))*N(data_winner="b")))/SUM(N(data_mission=A7)*_xlfn.BYROW(_xlfn.HSTACK(N(data_role_a="attacker")*N(NOT(ISERROR(SEARCH("Combined",player_type_a)))),N(data_role_b="attacker")*N(NOT(ISERROR(SEARCH("Combined",player_type_b))))),_xlfn.LAMBDA(_xlpm.row,SUM(_xlpm.row)))))</f>
        <v>-</v>
      </c>
      <c r="Q7" s="56" cm="1">
        <f t="array" ref="Q7">SUM(N(data_mission=A7)*_xlfn.BYROW(_xlfn.HSTACK(N(data_role_a="attacker")*N(NOT(ISERROR(SEARCH("Combined",player_type_a)))),N(data_role_b="attacker")*N(NOT(ISERROR(SEARCH("Combined",player_type_b))))),_xlfn.LAMBDA(_xlpm.row,SUM(_xlpm.row))))</f>
        <v>0</v>
      </c>
      <c r="R7" s="38" cm="1">
        <f t="array" ref="R7">SUM(N(data_mission=A7)*(_xlfn.BYROW(_xlfn.HSTACK(N(data_winner="b")*N(data_role_a="attacker"),N(data_winner="a")*N(data_role_b="attacker")),_xlfn.LAMBDA(_xlpm.row,SUM(_xlpm.row)))))/SUM(N(data_mission=A7))</f>
        <v>0.75</v>
      </c>
      <c r="S7" s="60" cm="1">
        <f t="array" ref="S7">SUM(N(data_mission=A7)*_xlfn.HSTACK((N(data_role_a="attacker")*data_score_b),(N(data_role_b="attacker")*data_score_a)))/SUM(N(data_mission=A7))</f>
        <v>5.25</v>
      </c>
      <c r="T7" s="60" cm="1">
        <f t="array" ref="T7">SUM(N(data_mission=A7)*_xlfn.HSTACK((N(data_role_a="attacker")*data_units_b),(N(data_role_b="attacker")*data_units_a)))/SUM(N(data_mission=A7))</f>
        <v>2</v>
      </c>
      <c r="U7" s="58">
        <f t="shared" si="1"/>
        <v>1.375</v>
      </c>
      <c r="V7" s="38" cm="1">
        <f t="array" ref="V7">IF(SUM(N(data_mission=A7)*_xlfn.BYROW(_xlfn.HSTACK(N(data_role_a="defender")*N(player_type_a="Infantry"),N(data_role_b="defender")*N(player_type_b="Infantry")),_xlfn.LAMBDA(_xlpm.row,SUM(_xlpm.row))))=0,"-",(SUM(N(data_mission=A7)*N(data_role_a="defender")*N(player_type_a="Infantry")*N(data_winner="a"))+SUM(N(data_mission=A7)*N(data_role_b="defender")*N(player_type_b="Infantry")*N(data_winner="b")))/SUM(N(data_mission=A7)*_xlfn.BYROW(_xlfn.HSTACK(N(data_role_a="defender")*N(player_type_a="Infantry"),N(data_role_b="defender")*N(player_type_b="Infantry")),_xlfn.LAMBDA(_xlpm.row,SUM(_xlpm.row)))))</f>
        <v>1</v>
      </c>
      <c r="W7" s="51" cm="1">
        <f t="array" ref="W7">SUM(N(data_mission=A7)*_xlfn.BYROW(_xlfn.HSTACK(N(data_role_a="defender")*N(player_type_a="Infantry"),N(data_role_b="defender")*N(player_type_b="Infantry")),_xlfn.LAMBDA(_xlpm.row,SUM(_xlpm.row))))</f>
        <v>1</v>
      </c>
      <c r="X7" s="38" t="str" cm="1">
        <f t="array" ref="X7">IF(SUM(N(data_mission=A7)*_xlfn.BYROW(_xlfn.HSTACK(N(data_role_a="defender")*N(player_type_a="Tank"),N(data_role_b="defender")*N(player_type_b="Tank")),_xlfn.LAMBDA(_xlpm.row,SUM(_xlpm.row))))=0,"-",(SUM(N(data_mission=A7)*N(data_role_a="defender")*N(player_type_a="Tank")*N(data_winner="a"))+SUM(N(data_mission=A7)*N(data_role_b="defender")*N(player_type_b="Tank")*N(data_winner="b")))/SUM(N(data_mission=A7)*_xlfn.BYROW(_xlfn.HSTACK(N(data_role_a="defender")*N(player_type_a="Tank"),N(data_role_b="defender")*N(player_type_b="Tank")),_xlfn.LAMBDA(_xlpm.row,SUM(_xlpm.row)))))</f>
        <v>-</v>
      </c>
      <c r="Y7" s="52" cm="1">
        <f t="array" ref="Y7">SUM(N(data_mission=A7)*_xlfn.BYROW(_xlfn.HSTACK(N(data_role_a="defender")*N(player_type_a="Tank"),N(data_role_b="defender")*N(player_type_b="Tank")),_xlfn.LAMBDA(_xlpm.row,SUM(_xlpm.row))))</f>
        <v>0</v>
      </c>
      <c r="Z7" s="38" cm="1">
        <f t="array" ref="Z7">IF(SUM(N(data_mission=A7)*_xlfn.BYROW(_xlfn.HSTACK(N(data_role_a="defender")*N(player_type_a="Mechanised Infantry"),N(data_role_b="defender")*N(player_type_b="Mechanised Infantry")),_xlfn.LAMBDA(_xlpm.row,SUM(_xlpm.row))))=0,"-",(SUM(N(data_mission=A7)*N(data_role_a="defender")*N(player_type_a="Mechanised Infantry")*N(data_winner="a"))+SUM(N(data_mission=A7)*N(data_role_b="defender")*N(player_type_b="Mechanised Infantry")*N(data_winner="b")))/SUM(N(data_mission=A7)*_xlfn.BYROW(_xlfn.HSTACK(N(data_role_a="defender")*N(player_type_a="Mechanised Infantry"),N(data_role_b="defender")*N(player_type_b="Mechanised Infantry")),_xlfn.LAMBDA(_xlpm.row,SUM(_xlpm.row)))))</f>
        <v>0.5</v>
      </c>
      <c r="AA7" s="52" cm="1">
        <f t="array" ref="AA7">SUM(N(data_mission=A7)*_xlfn.BYROW(_xlfn.HSTACK(N(data_role_a="defender")*N(player_type_a="Mechanised Infantry"),N(data_role_b="defender")*N(player_type_b="Mechanised Infantry")),_xlfn.LAMBDA(_xlpm.row,SUM(_xlpm.row))))</f>
        <v>2</v>
      </c>
      <c r="AB7" s="38" cm="1">
        <f t="array" ref="AB7">IF(SUM(N(data_mission=A7)*_xlfn.BYROW(_xlfn.HSTACK(N(data_role_a="defender")*N(NOT(ISERROR(SEARCH("Combined",player_type_a)))),N(data_role_b="defender")*N(NOT(ISERROR(SEARCH("Combined",player_type_b))))),_xlfn.LAMBDA(_xlpm.row,SUM(_xlpm.row))))=0,"-",(SUM(N(data_mission=A7)*N(data_role_a="defender")*N(NOT(ISERROR(SEARCH("Combined",player_type_a))))*N(data_winner="a"))+SUM(N(data_mission=A7)*N(data_role_b="defender")*N(NOT(ISERROR(SEARCH("Combined",player_type_b))))*N(data_winner="b")))/SUM(N(data_mission=A7)*_xlfn.BYROW(_xlfn.HSTACK(N(data_role_a="defender")*N(NOT(ISERROR(SEARCH("Combined",player_type_a)))),N(data_role_b="defender")*N(NOT(ISERROR(SEARCH("Combined",player_type_b))))),_xlfn.LAMBDA(_xlpm.row,SUM(_xlpm.row)))))</f>
        <v>1</v>
      </c>
      <c r="AC7" s="52" cm="1">
        <f t="array" ref="AC7">SUM(N(data_mission=A7)*_xlfn.BYROW(_xlfn.HSTACK(N(data_role_a="defender")*N(NOT(ISERROR(SEARCH("Combined",player_type_a)))),N(data_role_b="defender")*N(NOT(ISERROR(SEARCH("Combined",player_type_b))))),_xlfn.LAMBDA(_xlpm.row,SUM(_xlpm.row))))</f>
        <v>1</v>
      </c>
    </row>
    <row r="8" spans="1:29" x14ac:dyDescent="0.25">
      <c r="A8" t="s">
        <v>98</v>
      </c>
      <c r="B8" s="1" t="s">
        <v>211</v>
      </c>
      <c r="C8" s="50" cm="1">
        <f t="array" ref="C8">SUM(N(data_mod!C16:C77=A8))</f>
        <v>2</v>
      </c>
      <c r="D8" s="39" cm="1">
        <f t="array" ref="D8">SUM(N(data_mission=A8)*N(data_winner="none"))/SUM(N(data_mission=A8))</f>
        <v>0</v>
      </c>
      <c r="E8" s="60" cm="1">
        <f t="array" ref="E8">SUM(N(data_mission=A8)*data_turns)/SUM(N(data_mission=A8))</f>
        <v>7</v>
      </c>
      <c r="F8" s="38" cm="1">
        <f t="array" ref="F8">SUM(N(data_mission=A8)*(_xlfn.BYROW(_xlfn.HSTACK(N(data_winner="a")*N(data_role_a="attacker"),N(data_winner="b")*N(data_role_b="attacker")),_xlfn.LAMBDA(_xlpm.row,SUM(_xlpm.row)))))/SUM(N(data_mission=A8))</f>
        <v>0.5</v>
      </c>
      <c r="G8" s="60" cm="1">
        <f t="array" ref="G8">SUM(N(data_mission=A8)*_xlfn.HSTACK((N(data_role_a="attacker")*data_score_a),(N(data_role_b="attacker")*data_score_b)))/SUM(N(data_mission=A8))</f>
        <v>5</v>
      </c>
      <c r="H8" s="60" cm="1">
        <f t="array" ref="H8">SUM(N(data_mission=A8)*_xlfn.HSTACK((N(data_role_a="attacker")*data_units_a),(N(data_role_b="attacker")*data_units_b)))/SUM(N(data_mission=A8))</f>
        <v>2.5</v>
      </c>
      <c r="I8" s="58">
        <f t="shared" si="0"/>
        <v>1.2</v>
      </c>
      <c r="J8" s="38" cm="1">
        <f t="array" ref="J8">IF(SUM(N(data_mission=A8)*_xlfn.BYROW(_xlfn.HSTACK(N(data_role_a="attacker")*N(player_type_a="Infantry"),N(data_role_b="attacker")*N(player_type_b="Infantry")),_xlfn.LAMBDA(_xlpm.row,SUM(_xlpm.row))))=0,"-",(SUM(N(data_mission=A8)*N(data_role_a="attacker")*N(player_type_a="Infantry")*N(data_winner="a"))+SUM(N(data_mission=A8)*N(data_role_b="attacker")*N(player_type_b="Infantry")*N(data_winner="b")))/SUM(N(data_mission=A8)*_xlfn.BYROW(_xlfn.HSTACK(N(data_role_a="attacker")*N(player_type_a="Infantry"),N(data_role_b="attacker")*N(player_type_b="Infantry")),_xlfn.LAMBDA(_xlpm.row,SUM(_xlpm.row)))))</f>
        <v>1</v>
      </c>
      <c r="K8" s="56" cm="1">
        <f t="array" ref="K8">SUM(N(data_mission=A8)*_xlfn.BYROW(_xlfn.HSTACK(N(data_role_a="attacker")*N(player_type_a="Infantry"),N(data_role_b="attacker")*N(player_type_b="Infantry")),_xlfn.LAMBDA(_xlpm.row,SUM(_xlpm.row))))</f>
        <v>1</v>
      </c>
      <c r="L8" s="38" cm="1">
        <f t="array" ref="L8">IF(SUM(N(data_mission=A8)*_xlfn.BYROW(_xlfn.HSTACK(N(data_role_a="attacker")*N(player_type_a="Tank"),N(data_role_b="attacker")*N(player_type_b="Tank")),_xlfn.LAMBDA(_xlpm.row,SUM(_xlpm.row))))=0,"-",(SUM(N(data_mission=A8)*N(data_role_a="attacker")*N(player_type_a="Tank")*N(data_winner="a"))+SUM(N(data_mission=A8)*N(data_role_b="attacker")*N(player_type_b="Tank")*N(data_winner="b")))/SUM(N(data_mission=A8)*_xlfn.BYROW(_xlfn.HSTACK(N(data_role_a="attacker")*N(player_type_a="Tank"),N(data_role_b="attacker")*N(player_type_b="Tank")),_xlfn.LAMBDA(_xlpm.row,SUM(_xlpm.row)))))</f>
        <v>0</v>
      </c>
      <c r="M8" s="56" cm="1">
        <f t="array" ref="M8">SUM(N(data_mission=A8)*_xlfn.BYROW(_xlfn.HSTACK(N(data_role_a="attacker")*N(player_type_a="Tank"),N(data_role_b="attacker")*N(player_type_b="Tank")),_xlfn.LAMBDA(_xlpm.row,SUM(_xlpm.row))))</f>
        <v>1</v>
      </c>
      <c r="N8" s="38" t="str" cm="1">
        <f t="array" ref="N8">IF(SUM(N(data_mission=A8)*_xlfn.BYROW(_xlfn.HSTACK(N(data_role_a="attacker")*N(player_type_a="Mechanised Infantry"),N(data_role_b="attacker")*N(player_type_b="Mechanised Infantry")),_xlfn.LAMBDA(_xlpm.row,SUM(_xlpm.row))))=0,"-",(SUM(N(data_mission=A8)*N(data_role_a="attacker")*N(player_type_a="Mechanised Infantry")*N(data_winner="a"))+SUM(N(data_mission=A8)*N(data_role_b="attacker")*N(player_type_b="Mechanised Infantry")*N(data_winner="b")))/SUM(N(data_mission=A8)*_xlfn.BYROW(_xlfn.HSTACK(N(data_role_a="attacker")*N(player_type_a="Mechanised Infantry"),N(data_role_b="attacker")*N(player_type_b="Mechanised Infantry")),_xlfn.LAMBDA(_xlpm.row,SUM(_xlpm.row)))))</f>
        <v>-</v>
      </c>
      <c r="O8" s="56" cm="1">
        <f t="array" ref="O8">SUM(N(data_mission=A8)*_xlfn.BYROW(_xlfn.HSTACK(N(data_role_a="attacker")*N(player_type_a="Mechanised Infantry"),N(data_role_b="attacker")*N(player_type_b="Mechanised Infantry")),_xlfn.LAMBDA(_xlpm.row,SUM(_xlpm.row))))</f>
        <v>0</v>
      </c>
      <c r="P8" s="38" t="str" cm="1">
        <f t="array" ref="P8">IF(SUM(N(data_mission=A8)*_xlfn.BYROW(_xlfn.HSTACK(N(data_role_a="attacker")*N(NOT(ISERROR(SEARCH("Combined",player_type_a)))),N(data_role_b="attacker")*N(NOT(ISERROR(SEARCH("Combined",player_type_b))))),_xlfn.LAMBDA(_xlpm.row,SUM(_xlpm.row))))=0,"-",(SUM(N(data_mission=A8)*N(data_role_a="attacker")*N(NOT(ISERROR(SEARCH("Combined",player_type_a))))*N(data_winner="a"))+SUM(N(data_mission=A8)*N(data_role_b="attacker")*N(NOT(ISERROR(SEARCH("Combined",player_type_b))))*N(data_winner="b")))/SUM(N(data_mission=A8)*_xlfn.BYROW(_xlfn.HSTACK(N(data_role_a="attacker")*N(NOT(ISERROR(SEARCH("Combined",player_type_a)))),N(data_role_b="attacker")*N(NOT(ISERROR(SEARCH("Combined",player_type_b))))),_xlfn.LAMBDA(_xlpm.row,SUM(_xlpm.row)))))</f>
        <v>-</v>
      </c>
      <c r="Q8" s="56" cm="1">
        <f t="array" ref="Q8">SUM(N(data_mission=A8)*_xlfn.BYROW(_xlfn.HSTACK(N(data_role_a="attacker")*N(NOT(ISERROR(SEARCH("Combined",player_type_a)))),N(data_role_b="attacker")*N(NOT(ISERROR(SEARCH("Combined",player_type_b))))),_xlfn.LAMBDA(_xlpm.row,SUM(_xlpm.row))))</f>
        <v>0</v>
      </c>
      <c r="R8" s="38" cm="1">
        <f t="array" ref="R8">SUM(N(data_mission=A8)*(_xlfn.BYROW(_xlfn.HSTACK(N(data_winner="b")*N(data_role_a="attacker"),N(data_winner="a")*N(data_role_b="attacker")),_xlfn.LAMBDA(_xlpm.row,SUM(_xlpm.row)))))/SUM(N(data_mission=A8))</f>
        <v>0.5</v>
      </c>
      <c r="S8" s="60" cm="1">
        <f t="array" ref="S8">SUM(N(data_mission=A8)*_xlfn.HSTACK((N(data_role_a="attacker")*data_score_b),(N(data_role_b="attacker")*data_score_a)))/SUM(N(data_mission=A8))</f>
        <v>4</v>
      </c>
      <c r="T8" s="60" cm="1">
        <f t="array" ref="T8">SUM(N(data_mission=A8)*_xlfn.HSTACK((N(data_role_a="attacker")*data_units_b),(N(data_role_b="attacker")*data_units_a)))/SUM(N(data_mission=A8))</f>
        <v>3</v>
      </c>
      <c r="U8" s="58">
        <f t="shared" si="1"/>
        <v>0.83333333333333337</v>
      </c>
      <c r="V8" s="38" cm="1">
        <f t="array" ref="V8">IF(SUM(N(data_mission=A8)*_xlfn.BYROW(_xlfn.HSTACK(N(data_role_a="defender")*N(player_type_a="Infantry"),N(data_role_b="defender")*N(player_type_b="Infantry")),_xlfn.LAMBDA(_xlpm.row,SUM(_xlpm.row))))=0,"-",(SUM(N(data_mission=A8)*N(data_role_a="defender")*N(player_type_a="Infantry")*N(data_winner="a"))+SUM(N(data_mission=A8)*N(data_role_b="defender")*N(player_type_b="Infantry")*N(data_winner="b")))/SUM(N(data_mission=A8)*_xlfn.BYROW(_xlfn.HSTACK(N(data_role_a="defender")*N(player_type_a="Infantry"),N(data_role_b="defender")*N(player_type_b="Infantry")),_xlfn.LAMBDA(_xlpm.row,SUM(_xlpm.row)))))</f>
        <v>0.5</v>
      </c>
      <c r="W8" s="51" cm="1">
        <f t="array" ref="W8">SUM(N(data_mission=A8)*_xlfn.BYROW(_xlfn.HSTACK(N(data_role_a="defender")*N(player_type_a="Infantry"),N(data_role_b="defender")*N(player_type_b="Infantry")),_xlfn.LAMBDA(_xlpm.row,SUM(_xlpm.row))))</f>
        <v>2</v>
      </c>
      <c r="X8" s="38" t="str" cm="1">
        <f t="array" ref="X8">IF(SUM(N(data_mission=A8)*_xlfn.BYROW(_xlfn.HSTACK(N(data_role_a="defender")*N(player_type_a="Tank"),N(data_role_b="defender")*N(player_type_b="Tank")),_xlfn.LAMBDA(_xlpm.row,SUM(_xlpm.row))))=0,"-",(SUM(N(data_mission=A8)*N(data_role_a="defender")*N(player_type_a="Tank")*N(data_winner="a"))+SUM(N(data_mission=A8)*N(data_role_b="defender")*N(player_type_b="Tank")*N(data_winner="b")))/SUM(N(data_mission=A8)*_xlfn.BYROW(_xlfn.HSTACK(N(data_role_a="defender")*N(player_type_a="Tank"),N(data_role_b="defender")*N(player_type_b="Tank")),_xlfn.LAMBDA(_xlpm.row,SUM(_xlpm.row)))))</f>
        <v>-</v>
      </c>
      <c r="Y8" s="52" cm="1">
        <f t="array" ref="Y8">SUM(N(data_mission=A8)*_xlfn.BYROW(_xlfn.HSTACK(N(data_role_a="defender")*N(player_type_a="Tank"),N(data_role_b="defender")*N(player_type_b="Tank")),_xlfn.LAMBDA(_xlpm.row,SUM(_xlpm.row))))</f>
        <v>0</v>
      </c>
      <c r="Z8" s="38" t="str" cm="1">
        <f t="array" ref="Z8">IF(SUM(N(data_mission=A8)*_xlfn.BYROW(_xlfn.HSTACK(N(data_role_a="defender")*N(player_type_a="Mechanised Infantry"),N(data_role_b="defender")*N(player_type_b="Mechanised Infantry")),_xlfn.LAMBDA(_xlpm.row,SUM(_xlpm.row))))=0,"-",(SUM(N(data_mission=A8)*N(data_role_a="defender")*N(player_type_a="Mechanised Infantry")*N(data_winner="a"))+SUM(N(data_mission=A8)*N(data_role_b="defender")*N(player_type_b="Mechanised Infantry")*N(data_winner="b")))/SUM(N(data_mission=A8)*_xlfn.BYROW(_xlfn.HSTACK(N(data_role_a="defender")*N(player_type_a="Mechanised Infantry"),N(data_role_b="defender")*N(player_type_b="Mechanised Infantry")),_xlfn.LAMBDA(_xlpm.row,SUM(_xlpm.row)))))</f>
        <v>-</v>
      </c>
      <c r="AA8" s="52" cm="1">
        <f t="array" ref="AA8">SUM(N(data_mission=A8)*_xlfn.BYROW(_xlfn.HSTACK(N(data_role_a="defender")*N(player_type_a="Mechanised Infantry"),N(data_role_b="defender")*N(player_type_b="Mechanised Infantry")),_xlfn.LAMBDA(_xlpm.row,SUM(_xlpm.row))))</f>
        <v>0</v>
      </c>
      <c r="AB8" s="38" t="str" cm="1">
        <f t="array" ref="AB8">IF(SUM(N(data_mission=A8)*_xlfn.BYROW(_xlfn.HSTACK(N(data_role_a="defender")*N(NOT(ISERROR(SEARCH("Combined",player_type_a)))),N(data_role_b="defender")*N(NOT(ISERROR(SEARCH("Combined",player_type_b))))),_xlfn.LAMBDA(_xlpm.row,SUM(_xlpm.row))))=0,"-",(SUM(N(data_mission=A8)*N(data_role_a="defender")*N(NOT(ISERROR(SEARCH("Combined",player_type_a))))*N(data_winner="a"))+SUM(N(data_mission=A8)*N(data_role_b="defender")*N(NOT(ISERROR(SEARCH("Combined",player_type_b))))*N(data_winner="b")))/SUM(N(data_mission=A8)*_xlfn.BYROW(_xlfn.HSTACK(N(data_role_a="defender")*N(NOT(ISERROR(SEARCH("Combined",player_type_a)))),N(data_role_b="defender")*N(NOT(ISERROR(SEARCH("Combined",player_type_b))))),_xlfn.LAMBDA(_xlpm.row,SUM(_xlpm.row)))))</f>
        <v>-</v>
      </c>
      <c r="AC8" s="52" cm="1">
        <f t="array" ref="AC8">SUM(N(data_mission=A8)*_xlfn.BYROW(_xlfn.HSTACK(N(data_role_a="defender")*N(NOT(ISERROR(SEARCH("Combined",player_type_a)))),N(data_role_b="defender")*N(NOT(ISERROR(SEARCH("Combined",player_type_b))))),_xlfn.LAMBDA(_xlpm.row,SUM(_xlpm.row))))</f>
        <v>0</v>
      </c>
    </row>
    <row r="9" spans="1:29" x14ac:dyDescent="0.25">
      <c r="A9" t="s">
        <v>97</v>
      </c>
      <c r="B9" s="1" t="s">
        <v>221</v>
      </c>
      <c r="C9" s="50" cm="1">
        <f t="array" ref="C9">SUM(N(data_mod!C15:C76=A9))</f>
        <v>3</v>
      </c>
      <c r="D9" s="39" cm="1">
        <f t="array" ref="D9">SUM(N(data_mission=A9)*N(data_winner="none"))/SUM(N(data_mission=A9))</f>
        <v>0.33333333333333331</v>
      </c>
      <c r="E9" s="60" cm="1">
        <f t="array" ref="E9">SUM(N(data_mission=A9)*data_turns)/SUM(N(data_mission=A9))</f>
        <v>8</v>
      </c>
      <c r="F9" s="38" cm="1">
        <f t="array" ref="F9">SUM(N(data_mission=A9)*(_xlfn.BYROW(_xlfn.HSTACK(N(data_winner="a")*N(data_role_a="attacker"),N(data_winner="b")*N(data_role_b="attacker")),_xlfn.LAMBDA(_xlpm.row,SUM(_xlpm.row)))))/SUM(N(data_mission=A9))</f>
        <v>0.33333333333333331</v>
      </c>
      <c r="G9" s="60" cm="1">
        <f t="array" ref="G9">SUM(N(data_mission=A9)*_xlfn.HSTACK((N(data_role_a="attacker")*data_score_a),(N(data_role_b="attacker")*data_score_b)))/SUM(N(data_mission=A9))</f>
        <v>4</v>
      </c>
      <c r="H9" s="60" cm="1">
        <f t="array" ref="H9">SUM(N(data_mission=A9)*_xlfn.HSTACK((N(data_role_a="attacker")*data_units_a),(N(data_role_b="attacker")*data_units_b)))/SUM(N(data_mission=A9))</f>
        <v>3</v>
      </c>
      <c r="I9" s="58">
        <f t="shared" si="0"/>
        <v>0.77777777777777779</v>
      </c>
      <c r="J9" s="38" cm="1">
        <f t="array" ref="J9">IF(SUM(N(data_mission=A9)*_xlfn.BYROW(_xlfn.HSTACK(N(data_role_a="attacker")*N(player_type_a="Infantry"),N(data_role_b="attacker")*N(player_type_b="Infantry")),_xlfn.LAMBDA(_xlpm.row,SUM(_xlpm.row))))=0,"-",(SUM(N(data_mission=A9)*N(data_role_a="attacker")*N(player_type_a="Infantry")*N(data_winner="a"))+SUM(N(data_mission=A9)*N(data_role_b="attacker")*N(player_type_b="Infantry")*N(data_winner="b")))/SUM(N(data_mission=A9)*_xlfn.BYROW(_xlfn.HSTACK(N(data_role_a="attacker")*N(player_type_a="Infantry"),N(data_role_b="attacker")*N(player_type_b="Infantry")),_xlfn.LAMBDA(_xlpm.row,SUM(_xlpm.row)))))</f>
        <v>0.5</v>
      </c>
      <c r="K9" s="56" cm="1">
        <f t="array" ref="K9">SUM(N(data_mission=A9)*_xlfn.BYROW(_xlfn.HSTACK(N(data_role_a="attacker")*N(player_type_a="Infantry"),N(data_role_b="attacker")*N(player_type_b="Infantry")),_xlfn.LAMBDA(_xlpm.row,SUM(_xlpm.row))))</f>
        <v>2</v>
      </c>
      <c r="L9" s="38" t="str" cm="1">
        <f t="array" ref="L9">IF(SUM(N(data_mission=A9)*_xlfn.BYROW(_xlfn.HSTACK(N(data_role_a="attacker")*N(player_type_a="Tank"),N(data_role_b="attacker")*N(player_type_b="Tank")),_xlfn.LAMBDA(_xlpm.row,SUM(_xlpm.row))))=0,"-",(SUM(N(data_mission=A9)*N(data_role_a="attacker")*N(player_type_a="Tank")*N(data_winner="a"))+SUM(N(data_mission=A9)*N(data_role_b="attacker")*N(player_type_b="Tank")*N(data_winner="b")))/SUM(N(data_mission=A9)*_xlfn.BYROW(_xlfn.HSTACK(N(data_role_a="attacker")*N(player_type_a="Tank"),N(data_role_b="attacker")*N(player_type_b="Tank")),_xlfn.LAMBDA(_xlpm.row,SUM(_xlpm.row)))))</f>
        <v>-</v>
      </c>
      <c r="M9" s="56" cm="1">
        <f t="array" ref="M9">SUM(N(data_mission=A9)*_xlfn.BYROW(_xlfn.HSTACK(N(data_role_a="attacker")*N(player_type_a="Tank"),N(data_role_b="attacker")*N(player_type_b="Tank")),_xlfn.LAMBDA(_xlpm.row,SUM(_xlpm.row))))</f>
        <v>0</v>
      </c>
      <c r="N9" s="38" t="str" cm="1">
        <f t="array" ref="N9">IF(SUM(N(data_mission=A9)*_xlfn.BYROW(_xlfn.HSTACK(N(data_role_a="attacker")*N(player_type_a="Mechanised Infantry"),N(data_role_b="attacker")*N(player_type_b="Mechanised Infantry")),_xlfn.LAMBDA(_xlpm.row,SUM(_xlpm.row))))=0,"-",(SUM(N(data_mission=A9)*N(data_role_a="attacker")*N(player_type_a="Mechanised Infantry")*N(data_winner="a"))+SUM(N(data_mission=A9)*N(data_role_b="attacker")*N(player_type_b="Mechanised Infantry")*N(data_winner="b")))/SUM(N(data_mission=A9)*_xlfn.BYROW(_xlfn.HSTACK(N(data_role_a="attacker")*N(player_type_a="Mechanised Infantry"),N(data_role_b="attacker")*N(player_type_b="Mechanised Infantry")),_xlfn.LAMBDA(_xlpm.row,SUM(_xlpm.row)))))</f>
        <v>-</v>
      </c>
      <c r="O9" s="56" cm="1">
        <f t="array" ref="O9">SUM(N(data_mission=A9)*_xlfn.BYROW(_xlfn.HSTACK(N(data_role_a="attacker")*N(player_type_a="Mechanised Infantry"),N(data_role_b="attacker")*N(player_type_b="Mechanised Infantry")),_xlfn.LAMBDA(_xlpm.row,SUM(_xlpm.row))))</f>
        <v>0</v>
      </c>
      <c r="P9" s="38" cm="1">
        <f t="array" ref="P9">IF(SUM(N(data_mission=A9)*_xlfn.BYROW(_xlfn.HSTACK(N(data_role_a="attacker")*N(NOT(ISERROR(SEARCH("Combined",player_type_a)))),N(data_role_b="attacker")*N(NOT(ISERROR(SEARCH("Combined",player_type_b))))),_xlfn.LAMBDA(_xlpm.row,SUM(_xlpm.row))))=0,"-",(SUM(N(data_mission=A9)*N(data_role_a="attacker")*N(NOT(ISERROR(SEARCH("Combined",player_type_a))))*N(data_winner="a"))+SUM(N(data_mission=A9)*N(data_role_b="attacker")*N(NOT(ISERROR(SEARCH("Combined",player_type_b))))*N(data_winner="b")))/SUM(N(data_mission=A9)*_xlfn.BYROW(_xlfn.HSTACK(N(data_role_a="attacker")*N(NOT(ISERROR(SEARCH("Combined",player_type_a)))),N(data_role_b="attacker")*N(NOT(ISERROR(SEARCH("Combined",player_type_b))))),_xlfn.LAMBDA(_xlpm.row,SUM(_xlpm.row)))))</f>
        <v>0</v>
      </c>
      <c r="Q9" s="56" cm="1">
        <f t="array" ref="Q9">SUM(N(data_mission=A9)*_xlfn.BYROW(_xlfn.HSTACK(N(data_role_a="attacker")*N(NOT(ISERROR(SEARCH("Combined",player_type_a)))),N(data_role_b="attacker")*N(NOT(ISERROR(SEARCH("Combined",player_type_b))))),_xlfn.LAMBDA(_xlpm.row,SUM(_xlpm.row))))</f>
        <v>1</v>
      </c>
      <c r="R9" s="38" cm="1">
        <f t="array" ref="R9">SUM(N(data_mission=A9)*(_xlfn.BYROW(_xlfn.HSTACK(N(data_winner="b")*N(data_role_a="attacker"),N(data_winner="a")*N(data_role_b="attacker")),_xlfn.LAMBDA(_xlpm.row,SUM(_xlpm.row)))))/SUM(N(data_mission=A9))</f>
        <v>0.33333333333333331</v>
      </c>
      <c r="S9" s="60" cm="1">
        <f t="array" ref="S9">SUM(N(data_mission=A9)*_xlfn.HSTACK((N(data_role_a="attacker")*data_score_b),(N(data_role_b="attacker")*data_score_a)))/SUM(N(data_mission=A9))</f>
        <v>2.6666666666666665</v>
      </c>
      <c r="T9" s="60" cm="1">
        <f t="array" ref="T9">SUM(N(data_mission=A9)*_xlfn.HSTACK((N(data_role_a="attacker")*data_units_b),(N(data_role_b="attacker")*data_units_a)))/SUM(N(data_mission=A9))</f>
        <v>2.3333333333333335</v>
      </c>
      <c r="U9" s="58">
        <f t="shared" si="1"/>
        <v>1.2857142857142856</v>
      </c>
      <c r="V9" s="38" cm="1">
        <f t="array" ref="V9">IF(SUM(N(data_mission=A9)*_xlfn.BYROW(_xlfn.HSTACK(N(data_role_a="defender")*N(player_type_a="Infantry"),N(data_role_b="defender")*N(player_type_b="Infantry")),_xlfn.LAMBDA(_xlpm.row,SUM(_xlpm.row))))=0,"-",(SUM(N(data_mission=A9)*N(data_role_a="defender")*N(player_type_a="Infantry")*N(data_winner="a"))+SUM(N(data_mission=A9)*N(data_role_b="defender")*N(player_type_b="Infantry")*N(data_winner="b")))/SUM(N(data_mission=A9)*_xlfn.BYROW(_xlfn.HSTACK(N(data_role_a="defender")*N(player_type_a="Infantry"),N(data_role_b="defender")*N(player_type_b="Infantry")),_xlfn.LAMBDA(_xlpm.row,SUM(_xlpm.row)))))</f>
        <v>0</v>
      </c>
      <c r="W9" s="51" cm="1">
        <f t="array" ref="W9">SUM(N(data_mission=A9)*_xlfn.BYROW(_xlfn.HSTACK(N(data_role_a="defender")*N(player_type_a="Infantry"),N(data_role_b="defender")*N(player_type_b="Infantry")),_xlfn.LAMBDA(_xlpm.row,SUM(_xlpm.row))))</f>
        <v>2</v>
      </c>
      <c r="X9" s="38" cm="1">
        <f t="array" ref="X9">IF(SUM(N(data_mission=A9)*_xlfn.BYROW(_xlfn.HSTACK(N(data_role_a="defender")*N(player_type_a="Tank"),N(data_role_b="defender")*N(player_type_b="Tank")),_xlfn.LAMBDA(_xlpm.row,SUM(_xlpm.row))))=0,"-",(SUM(N(data_mission=A9)*N(data_role_a="defender")*N(player_type_a="Tank")*N(data_winner="a"))+SUM(N(data_mission=A9)*N(data_role_b="defender")*N(player_type_b="Tank")*N(data_winner="b")))/SUM(N(data_mission=A9)*_xlfn.BYROW(_xlfn.HSTACK(N(data_role_a="defender")*N(player_type_a="Tank"),N(data_role_b="defender")*N(player_type_b="Tank")),_xlfn.LAMBDA(_xlpm.row,SUM(_xlpm.row)))))</f>
        <v>1</v>
      </c>
      <c r="Y9" s="52" cm="1">
        <f t="array" ref="Y9">SUM(N(data_mission=A9)*_xlfn.BYROW(_xlfn.HSTACK(N(data_role_a="defender")*N(player_type_a="Tank"),N(data_role_b="defender")*N(player_type_b="Tank")),_xlfn.LAMBDA(_xlpm.row,SUM(_xlpm.row))))</f>
        <v>1</v>
      </c>
      <c r="Z9" s="38" t="str" cm="1">
        <f t="array" ref="Z9">IF(SUM(N(data_mission=A9)*_xlfn.BYROW(_xlfn.HSTACK(N(data_role_a="defender")*N(player_type_a="Mechanised Infantry"),N(data_role_b="defender")*N(player_type_b="Mechanised Infantry")),_xlfn.LAMBDA(_xlpm.row,SUM(_xlpm.row))))=0,"-",(SUM(N(data_mission=A9)*N(data_role_a="defender")*N(player_type_a="Mechanised Infantry")*N(data_winner="a"))+SUM(N(data_mission=A9)*N(data_role_b="defender")*N(player_type_b="Mechanised Infantry")*N(data_winner="b")))/SUM(N(data_mission=A9)*_xlfn.BYROW(_xlfn.HSTACK(N(data_role_a="defender")*N(player_type_a="Mechanised Infantry"),N(data_role_b="defender")*N(player_type_b="Mechanised Infantry")),_xlfn.LAMBDA(_xlpm.row,SUM(_xlpm.row)))))</f>
        <v>-</v>
      </c>
      <c r="AA9" s="52" cm="1">
        <f t="array" ref="AA9">SUM(N(data_mission=A9)*_xlfn.BYROW(_xlfn.HSTACK(N(data_role_a="defender")*N(player_type_a="Mechanised Infantry"),N(data_role_b="defender")*N(player_type_b="Mechanised Infantry")),_xlfn.LAMBDA(_xlpm.row,SUM(_xlpm.row))))</f>
        <v>0</v>
      </c>
      <c r="AB9" s="38" t="str" cm="1">
        <f t="array" ref="AB9">IF(SUM(N(data_mission=A9)*_xlfn.BYROW(_xlfn.HSTACK(N(data_role_a="defender")*N(NOT(ISERROR(SEARCH("Combined",player_type_a)))),N(data_role_b="defender")*N(NOT(ISERROR(SEARCH("Combined",player_type_b))))),_xlfn.LAMBDA(_xlpm.row,SUM(_xlpm.row))))=0,"-",(SUM(N(data_mission=A9)*N(data_role_a="defender")*N(NOT(ISERROR(SEARCH("Combined",player_type_a))))*N(data_winner="a"))+SUM(N(data_mission=A9)*N(data_role_b="defender")*N(NOT(ISERROR(SEARCH("Combined",player_type_b))))*N(data_winner="b")))/SUM(N(data_mission=A9)*_xlfn.BYROW(_xlfn.HSTACK(N(data_role_a="defender")*N(NOT(ISERROR(SEARCH("Combined",player_type_a)))),N(data_role_b="defender")*N(NOT(ISERROR(SEARCH("Combined",player_type_b))))),_xlfn.LAMBDA(_xlpm.row,SUM(_xlpm.row)))))</f>
        <v>-</v>
      </c>
      <c r="AC9" s="52" cm="1">
        <f t="array" ref="AC9">SUM(N(data_mission=A9)*_xlfn.BYROW(_xlfn.HSTACK(N(data_role_a="defender")*N(NOT(ISERROR(SEARCH("Combined",player_type_a)))),N(data_role_b="defender")*N(NOT(ISERROR(SEARCH("Combined",player_type_b))))),_xlfn.LAMBDA(_xlpm.row,SUM(_xlpm.row))))</f>
        <v>0</v>
      </c>
    </row>
    <row r="10" spans="1:29" x14ac:dyDescent="0.25">
      <c r="A10" t="s">
        <v>73</v>
      </c>
      <c r="B10" s="1" t="s">
        <v>208</v>
      </c>
      <c r="C10" s="50" cm="1">
        <f t="array" ref="C10">SUM(N(data_mod!C7:C68=A10))</f>
        <v>1</v>
      </c>
      <c r="D10" s="39" cm="1">
        <f t="array" ref="D10">SUM(N(data_mission=A10)*N(data_winner="none"))/SUM(N(data_mission=A10))</f>
        <v>0</v>
      </c>
      <c r="E10" s="60" cm="1">
        <f t="array" ref="E10">SUM(N(data_mission=A10)*data_turns)/SUM(N(data_mission=A10))</f>
        <v>6</v>
      </c>
      <c r="F10" s="38" cm="1">
        <f t="array" ref="F10">SUM(N(data_mission=A10)*(_xlfn.BYROW(_xlfn.HSTACK(N(data_winner="a")*N(data_role_a="attacker"),N(data_winner="b")*N(data_role_b="attacker")),_xlfn.LAMBDA(_xlpm.row,SUM(_xlpm.row)))))/SUM(N(data_mission=A10))</f>
        <v>0</v>
      </c>
      <c r="G10" s="60" cm="1">
        <f t="array" ref="G10">SUM(N(data_mission=A10)*_xlfn.HSTACK((N(data_role_a="attacker")*data_score_a),(N(data_role_b="attacker")*data_score_b)))/SUM(N(data_mission=A10))</f>
        <v>1</v>
      </c>
      <c r="H10" s="60" cm="1">
        <f t="array" ref="H10">SUM(N(data_mission=A10)*_xlfn.HSTACK((N(data_role_a="attacker")*data_units_a),(N(data_role_b="attacker")*data_units_b)))/SUM(N(data_mission=A10))</f>
        <v>4</v>
      </c>
      <c r="I10" s="58">
        <f t="shared" si="0"/>
        <v>0.25</v>
      </c>
      <c r="J10" s="38" t="str" cm="1">
        <f t="array" ref="J10">IF(SUM(N(data_mission=A10)*_xlfn.BYROW(_xlfn.HSTACK(N(data_role_a="attacker")*N(player_type_a="Infantry"),N(data_role_b="attacker")*N(player_type_b="Infantry")),_xlfn.LAMBDA(_xlpm.row,SUM(_xlpm.row))))=0,"-",(SUM(N(data_mission=A10)*N(data_role_a="attacker")*N(player_type_a="Infantry")*N(data_winner="a"))+SUM(N(data_mission=A10)*N(data_role_b="attacker")*N(player_type_b="Infantry")*N(data_winner="b")))/SUM(N(data_mission=A10)*_xlfn.BYROW(_xlfn.HSTACK(N(data_role_a="attacker")*N(player_type_a="Infantry"),N(data_role_b="attacker")*N(player_type_b="Infantry")),_xlfn.LAMBDA(_xlpm.row,SUM(_xlpm.row)))))</f>
        <v>-</v>
      </c>
      <c r="K10" s="56" cm="1">
        <f t="array" ref="K10">SUM(N(data_mission=A10)*_xlfn.BYROW(_xlfn.HSTACK(N(data_role_a="attacker")*N(player_type_a="Infantry"),N(data_role_b="attacker")*N(player_type_b="Infantry")),_xlfn.LAMBDA(_xlpm.row,SUM(_xlpm.row))))</f>
        <v>0</v>
      </c>
      <c r="L10" s="38" cm="1">
        <f t="array" ref="L10">IF(SUM(N(data_mission=A10)*_xlfn.BYROW(_xlfn.HSTACK(N(data_role_a="attacker")*N(player_type_a="Tank"),N(data_role_b="attacker")*N(player_type_b="Tank")),_xlfn.LAMBDA(_xlpm.row,SUM(_xlpm.row))))=0,"-",(SUM(N(data_mission=A10)*N(data_role_a="attacker")*N(player_type_a="Tank")*N(data_winner="a"))+SUM(N(data_mission=A10)*N(data_role_b="attacker")*N(player_type_b="Tank")*N(data_winner="b")))/SUM(N(data_mission=A10)*_xlfn.BYROW(_xlfn.HSTACK(N(data_role_a="attacker")*N(player_type_a="Tank"),N(data_role_b="attacker")*N(player_type_b="Tank")),_xlfn.LAMBDA(_xlpm.row,SUM(_xlpm.row)))))</f>
        <v>0</v>
      </c>
      <c r="M10" s="56" cm="1">
        <f t="array" ref="M10">SUM(N(data_mission=A10)*_xlfn.BYROW(_xlfn.HSTACK(N(data_role_a="attacker")*N(player_type_a="Tank"),N(data_role_b="attacker")*N(player_type_b="Tank")),_xlfn.LAMBDA(_xlpm.row,SUM(_xlpm.row))))</f>
        <v>1</v>
      </c>
      <c r="N10" s="38" t="str" cm="1">
        <f t="array" ref="N10">IF(SUM(N(data_mission=A10)*_xlfn.BYROW(_xlfn.HSTACK(N(data_role_a="attacker")*N(player_type_a="Mechanised Infantry"),N(data_role_b="attacker")*N(player_type_b="Mechanised Infantry")),_xlfn.LAMBDA(_xlpm.row,SUM(_xlpm.row))))=0,"-",(SUM(N(data_mission=A10)*N(data_role_a="attacker")*N(player_type_a="Mechanised Infantry")*N(data_winner="a"))+SUM(N(data_mission=A10)*N(data_role_b="attacker")*N(player_type_b="Mechanised Infantry")*N(data_winner="b")))/SUM(N(data_mission=A10)*_xlfn.BYROW(_xlfn.HSTACK(N(data_role_a="attacker")*N(player_type_a="Mechanised Infantry"),N(data_role_b="attacker")*N(player_type_b="Mechanised Infantry")),_xlfn.LAMBDA(_xlpm.row,SUM(_xlpm.row)))))</f>
        <v>-</v>
      </c>
      <c r="O10" s="56" cm="1">
        <f t="array" ref="O10">SUM(N(data_mission=A10)*_xlfn.BYROW(_xlfn.HSTACK(N(data_role_a="attacker")*N(player_type_a="Mechanised Infantry"),N(data_role_b="attacker")*N(player_type_b="Mechanised Infantry")),_xlfn.LAMBDA(_xlpm.row,SUM(_xlpm.row))))</f>
        <v>0</v>
      </c>
      <c r="P10" s="38" t="str" cm="1">
        <f t="array" ref="P10">IF(SUM(N(data_mission=A10)*_xlfn.BYROW(_xlfn.HSTACK(N(data_role_a="attacker")*N(NOT(ISERROR(SEARCH("Combined",player_type_a)))),N(data_role_b="attacker")*N(NOT(ISERROR(SEARCH("Combined",player_type_b))))),_xlfn.LAMBDA(_xlpm.row,SUM(_xlpm.row))))=0,"-",(SUM(N(data_mission=A10)*N(data_role_a="attacker")*N(NOT(ISERROR(SEARCH("Combined",player_type_a))))*N(data_winner="a"))+SUM(N(data_mission=A10)*N(data_role_b="attacker")*N(NOT(ISERROR(SEARCH("Combined",player_type_b))))*N(data_winner="b")))/SUM(N(data_mission=A10)*_xlfn.BYROW(_xlfn.HSTACK(N(data_role_a="attacker")*N(NOT(ISERROR(SEARCH("Combined",player_type_a)))),N(data_role_b="attacker")*N(NOT(ISERROR(SEARCH("Combined",player_type_b))))),_xlfn.LAMBDA(_xlpm.row,SUM(_xlpm.row)))))</f>
        <v>-</v>
      </c>
      <c r="Q10" s="56" cm="1">
        <f t="array" ref="Q10">SUM(N(data_mission=A10)*_xlfn.BYROW(_xlfn.HSTACK(N(data_role_a="attacker")*N(NOT(ISERROR(SEARCH("Combined",player_type_a)))),N(data_role_b="attacker")*N(NOT(ISERROR(SEARCH("Combined",player_type_b))))),_xlfn.LAMBDA(_xlpm.row,SUM(_xlpm.row))))</f>
        <v>0</v>
      </c>
      <c r="R10" s="38" cm="1">
        <f t="array" ref="R10">SUM(N(data_mission=A10)*(_xlfn.BYROW(_xlfn.HSTACK(N(data_winner="b")*N(data_role_a="attacker"),N(data_winner="a")*N(data_role_b="attacker")),_xlfn.LAMBDA(_xlpm.row,SUM(_xlpm.row)))))/SUM(N(data_mission=A10))</f>
        <v>1</v>
      </c>
      <c r="S10" s="60" cm="1">
        <f t="array" ref="S10">SUM(N(data_mission=A10)*_xlfn.HSTACK((N(data_role_a="attacker")*data_score_b),(N(data_role_b="attacker")*data_score_a)))/SUM(N(data_mission=A10))</f>
        <v>8</v>
      </c>
      <c r="T10" s="60" cm="1">
        <f t="array" ref="T10">SUM(N(data_mission=A10)*_xlfn.HSTACK((N(data_role_a="attacker")*data_units_b),(N(data_role_b="attacker")*data_units_a)))/SUM(N(data_mission=A10))</f>
        <v>1</v>
      </c>
      <c r="U10" s="58">
        <f t="shared" si="1"/>
        <v>4</v>
      </c>
      <c r="V10" s="38" cm="1">
        <f t="array" ref="V10">IF(SUM(N(data_mission=A10)*_xlfn.BYROW(_xlfn.HSTACK(N(data_role_a="defender")*N(player_type_a="Infantry"),N(data_role_b="defender")*N(player_type_b="Infantry")),_xlfn.LAMBDA(_xlpm.row,SUM(_xlpm.row))))=0,"-",(SUM(N(data_mission=A10)*N(data_role_a="defender")*N(player_type_a="Infantry")*N(data_winner="a"))+SUM(N(data_mission=A10)*N(data_role_b="defender")*N(player_type_b="Infantry")*N(data_winner="b")))/SUM(N(data_mission=A10)*_xlfn.BYROW(_xlfn.HSTACK(N(data_role_a="defender")*N(player_type_a="Infantry"),N(data_role_b="defender")*N(player_type_b="Infantry")),_xlfn.LAMBDA(_xlpm.row,SUM(_xlpm.row)))))</f>
        <v>1</v>
      </c>
      <c r="W10" s="51" cm="1">
        <f t="array" ref="W10">SUM(N(data_mission=A10)*_xlfn.BYROW(_xlfn.HSTACK(N(data_role_a="defender")*N(player_type_a="Infantry"),N(data_role_b="defender")*N(player_type_b="Infantry")),_xlfn.LAMBDA(_xlpm.row,SUM(_xlpm.row))))</f>
        <v>1</v>
      </c>
      <c r="X10" s="38" t="str" cm="1">
        <f t="array" ref="X10">IF(SUM(N(data_mission=A10)*_xlfn.BYROW(_xlfn.HSTACK(N(data_role_a="defender")*N(player_type_a="Tank"),N(data_role_b="defender")*N(player_type_b="Tank")),_xlfn.LAMBDA(_xlpm.row,SUM(_xlpm.row))))=0,"-",(SUM(N(data_mission=A10)*N(data_role_a="defender")*N(player_type_a="Tank")*N(data_winner="a"))+SUM(N(data_mission=A10)*N(data_role_b="defender")*N(player_type_b="Tank")*N(data_winner="b")))/SUM(N(data_mission=A10)*_xlfn.BYROW(_xlfn.HSTACK(N(data_role_a="defender")*N(player_type_a="Tank"),N(data_role_b="defender")*N(player_type_b="Tank")),_xlfn.LAMBDA(_xlpm.row,SUM(_xlpm.row)))))</f>
        <v>-</v>
      </c>
      <c r="Y10" s="52" cm="1">
        <f t="array" ref="Y10">SUM(N(data_mission=A10)*_xlfn.BYROW(_xlfn.HSTACK(N(data_role_a="defender")*N(player_type_a="Tank"),N(data_role_b="defender")*N(player_type_b="Tank")),_xlfn.LAMBDA(_xlpm.row,SUM(_xlpm.row))))</f>
        <v>0</v>
      </c>
      <c r="Z10" s="38" t="str" cm="1">
        <f t="array" ref="Z10">IF(SUM(N(data_mission=A10)*_xlfn.BYROW(_xlfn.HSTACK(N(data_role_a="defender")*N(player_type_a="Mechanised Infantry"),N(data_role_b="defender")*N(player_type_b="Mechanised Infantry")),_xlfn.LAMBDA(_xlpm.row,SUM(_xlpm.row))))=0,"-",(SUM(N(data_mission=A10)*N(data_role_a="defender")*N(player_type_a="Mechanised Infantry")*N(data_winner="a"))+SUM(N(data_mission=A10)*N(data_role_b="defender")*N(player_type_b="Mechanised Infantry")*N(data_winner="b")))/SUM(N(data_mission=A10)*_xlfn.BYROW(_xlfn.HSTACK(N(data_role_a="defender")*N(player_type_a="Mechanised Infantry"),N(data_role_b="defender")*N(player_type_b="Mechanised Infantry")),_xlfn.LAMBDA(_xlpm.row,SUM(_xlpm.row)))))</f>
        <v>-</v>
      </c>
      <c r="AA10" s="52" cm="1">
        <f t="array" ref="AA10">SUM(N(data_mission=A10)*_xlfn.BYROW(_xlfn.HSTACK(N(data_role_a="defender")*N(player_type_a="Mechanised Infantry"),N(data_role_b="defender")*N(player_type_b="Mechanised Infantry")),_xlfn.LAMBDA(_xlpm.row,SUM(_xlpm.row))))</f>
        <v>0</v>
      </c>
      <c r="AB10" s="38" t="str" cm="1">
        <f t="array" ref="AB10">IF(SUM(N(data_mission=A10)*_xlfn.BYROW(_xlfn.HSTACK(N(data_role_a="defender")*N(NOT(ISERROR(SEARCH("Combined",player_type_a)))),N(data_role_b="defender")*N(NOT(ISERROR(SEARCH("Combined",player_type_b))))),_xlfn.LAMBDA(_xlpm.row,SUM(_xlpm.row))))=0,"-",(SUM(N(data_mission=A10)*N(data_role_a="defender")*N(NOT(ISERROR(SEARCH("Combined",player_type_a))))*N(data_winner="a"))+SUM(N(data_mission=A10)*N(data_role_b="defender")*N(NOT(ISERROR(SEARCH("Combined",player_type_b))))*N(data_winner="b")))/SUM(N(data_mission=A10)*_xlfn.BYROW(_xlfn.HSTACK(N(data_role_a="defender")*N(NOT(ISERROR(SEARCH("Combined",player_type_a)))),N(data_role_b="defender")*N(NOT(ISERROR(SEARCH("Combined",player_type_b))))),_xlfn.LAMBDA(_xlpm.row,SUM(_xlpm.row)))))</f>
        <v>-</v>
      </c>
      <c r="AC10" s="52" cm="1">
        <f t="array" ref="AC10">SUM(N(data_mission=A10)*_xlfn.BYROW(_xlfn.HSTACK(N(data_role_a="defender")*N(NOT(ISERROR(SEARCH("Combined",player_type_a)))),N(data_role_b="defender")*N(NOT(ISERROR(SEARCH("Combined",player_type_b))))),_xlfn.LAMBDA(_xlpm.row,SUM(_xlpm.row))))</f>
        <v>0</v>
      </c>
    </row>
    <row r="11" spans="1:29" x14ac:dyDescent="0.25">
      <c r="A11" t="s">
        <v>31</v>
      </c>
      <c r="B11" s="1" t="s">
        <v>206</v>
      </c>
      <c r="C11" s="50" cm="1">
        <f t="array" ref="C11">SUM(N(data_mod!C3:C64=A11))</f>
        <v>3</v>
      </c>
      <c r="D11" s="39" cm="1">
        <f t="array" ref="D11">SUM(N(data_mission=A11)*N(data_winner="none"))/SUM(N(data_mission=A11))</f>
        <v>0.33333333333333331</v>
      </c>
      <c r="E11" s="60" cm="1">
        <f t="array" ref="E11">SUM(N(data_mission=A11)*data_turns)/SUM(N(data_mission=A11))</f>
        <v>6</v>
      </c>
      <c r="F11" s="38" cm="1">
        <f t="array" ref="F11">SUM(N(data_mission=A11)*(_xlfn.BYROW(_xlfn.HSTACK(N(data_winner="a")*N(data_role_a="attacker"),N(data_winner="b")*N(data_role_b="attacker")),_xlfn.LAMBDA(_xlpm.row,SUM(_xlpm.row)))))/SUM(N(data_mission=A11))</f>
        <v>0</v>
      </c>
      <c r="G11" s="60" cm="1">
        <f t="array" ref="G11">SUM(N(data_mission=A11)*_xlfn.HSTACK((N(data_role_a="attacker")*data_score_a),(N(data_role_b="attacker")*data_score_b)))/SUM(N(data_mission=A11))</f>
        <v>2.3333333333333335</v>
      </c>
      <c r="H11" s="60" cm="1">
        <f t="array" ref="H11">SUM(N(data_mission=A11)*_xlfn.HSTACK((N(data_role_a="attacker")*data_units_a),(N(data_role_b="attacker")*data_units_b)))/SUM(N(data_mission=A11))</f>
        <v>3.6666666666666665</v>
      </c>
      <c r="I11" s="58">
        <f t="shared" si="0"/>
        <v>0.63636363636363646</v>
      </c>
      <c r="J11" s="38" cm="1">
        <f t="array" ref="J11">IF(SUM(N(data_mission=A11)*_xlfn.BYROW(_xlfn.HSTACK(N(data_role_a="attacker")*N(player_type_a="Infantry"),N(data_role_b="attacker")*N(player_type_b="Infantry")),_xlfn.LAMBDA(_xlpm.row,SUM(_xlpm.row))))=0,"-",(SUM(N(data_mission=A11)*N(data_role_a="attacker")*N(player_type_a="Infantry")*N(data_winner="a"))+SUM(N(data_mission=A11)*N(data_role_b="attacker")*N(player_type_b="Infantry")*N(data_winner="b")))/SUM(N(data_mission=A11)*_xlfn.BYROW(_xlfn.HSTACK(N(data_role_a="attacker")*N(player_type_a="Infantry"),N(data_role_b="attacker")*N(player_type_b="Infantry")),_xlfn.LAMBDA(_xlpm.row,SUM(_xlpm.row)))))</f>
        <v>0</v>
      </c>
      <c r="K11" s="56" cm="1">
        <f t="array" ref="K11">SUM(N(data_mission=A11)*_xlfn.BYROW(_xlfn.HSTACK(N(data_role_a="attacker")*N(player_type_a="Infantry"),N(data_role_b="attacker")*N(player_type_b="Infantry")),_xlfn.LAMBDA(_xlpm.row,SUM(_xlpm.row))))</f>
        <v>2</v>
      </c>
      <c r="L11" s="38" cm="1">
        <f t="array" ref="L11">IF(SUM(N(data_mission=A11)*_xlfn.BYROW(_xlfn.HSTACK(N(data_role_a="attacker")*N(player_type_a="Tank"),N(data_role_b="attacker")*N(player_type_b="Tank")),_xlfn.LAMBDA(_xlpm.row,SUM(_xlpm.row))))=0,"-",(SUM(N(data_mission=A11)*N(data_role_a="attacker")*N(player_type_a="Tank")*N(data_winner="a"))+SUM(N(data_mission=A11)*N(data_role_b="attacker")*N(player_type_b="Tank")*N(data_winner="b")))/SUM(N(data_mission=A11)*_xlfn.BYROW(_xlfn.HSTACK(N(data_role_a="attacker")*N(player_type_a="Tank"),N(data_role_b="attacker")*N(player_type_b="Tank")),_xlfn.LAMBDA(_xlpm.row,SUM(_xlpm.row)))))</f>
        <v>0</v>
      </c>
      <c r="M11" s="56" cm="1">
        <f t="array" ref="M11">SUM(N(data_mission=A11)*_xlfn.BYROW(_xlfn.HSTACK(N(data_role_a="attacker")*N(player_type_a="Tank"),N(data_role_b="attacker")*N(player_type_b="Tank")),_xlfn.LAMBDA(_xlpm.row,SUM(_xlpm.row))))</f>
        <v>1</v>
      </c>
      <c r="N11" s="38" t="str" cm="1">
        <f t="array" ref="N11">IF(SUM(N(data_mission=A11)*_xlfn.BYROW(_xlfn.HSTACK(N(data_role_a="attacker")*N(player_type_a="Mechanised Infantry"),N(data_role_b="attacker")*N(player_type_b="Mechanised Infantry")),_xlfn.LAMBDA(_xlpm.row,SUM(_xlpm.row))))=0,"-",(SUM(N(data_mission=A11)*N(data_role_a="attacker")*N(player_type_a="Mechanised Infantry")*N(data_winner="a"))+SUM(N(data_mission=A11)*N(data_role_b="attacker")*N(player_type_b="Mechanised Infantry")*N(data_winner="b")))/SUM(N(data_mission=A11)*_xlfn.BYROW(_xlfn.HSTACK(N(data_role_a="attacker")*N(player_type_a="Mechanised Infantry"),N(data_role_b="attacker")*N(player_type_b="Mechanised Infantry")),_xlfn.LAMBDA(_xlpm.row,SUM(_xlpm.row)))))</f>
        <v>-</v>
      </c>
      <c r="O11" s="56" cm="1">
        <f t="array" ref="O11">SUM(N(data_mission=A11)*_xlfn.BYROW(_xlfn.HSTACK(N(data_role_a="attacker")*N(player_type_a="Mechanised Infantry"),N(data_role_b="attacker")*N(player_type_b="Mechanised Infantry")),_xlfn.LAMBDA(_xlpm.row,SUM(_xlpm.row))))</f>
        <v>0</v>
      </c>
      <c r="P11" s="38" t="str" cm="1">
        <f t="array" ref="P11">IF(SUM(N(data_mission=A11)*_xlfn.BYROW(_xlfn.HSTACK(N(data_role_a="attacker")*N(NOT(ISERROR(SEARCH("Combined",player_type_a)))),N(data_role_b="attacker")*N(NOT(ISERROR(SEARCH("Combined",player_type_b))))),_xlfn.LAMBDA(_xlpm.row,SUM(_xlpm.row))))=0,"-",(SUM(N(data_mission=A11)*N(data_role_a="attacker")*N(NOT(ISERROR(SEARCH("Combined",player_type_a))))*N(data_winner="a"))+SUM(N(data_mission=A11)*N(data_role_b="attacker")*N(NOT(ISERROR(SEARCH("Combined",player_type_b))))*N(data_winner="b")))/SUM(N(data_mission=A11)*_xlfn.BYROW(_xlfn.HSTACK(N(data_role_a="attacker")*N(NOT(ISERROR(SEARCH("Combined",player_type_a)))),N(data_role_b="attacker")*N(NOT(ISERROR(SEARCH("Combined",player_type_b))))),_xlfn.LAMBDA(_xlpm.row,SUM(_xlpm.row)))))</f>
        <v>-</v>
      </c>
      <c r="Q11" s="56" cm="1">
        <f t="array" ref="Q11">SUM(N(data_mission=A11)*_xlfn.BYROW(_xlfn.HSTACK(N(data_role_a="attacker")*N(NOT(ISERROR(SEARCH("Combined",player_type_a)))),N(data_role_b="attacker")*N(NOT(ISERROR(SEARCH("Combined",player_type_b))))),_xlfn.LAMBDA(_xlpm.row,SUM(_xlpm.row))))</f>
        <v>0</v>
      </c>
      <c r="R11" s="38" cm="1">
        <f t="array" ref="R11">SUM(N(data_mission=A11)*(_xlfn.BYROW(_xlfn.HSTACK(N(data_winner="b")*N(data_role_a="attacker"),N(data_winner="a")*N(data_role_b="attacker")),_xlfn.LAMBDA(_xlpm.row,SUM(_xlpm.row)))))/SUM(N(data_mission=A11))</f>
        <v>0.66666666666666663</v>
      </c>
      <c r="S11" s="60" cm="1">
        <f t="array" ref="S11">SUM(N(data_mission=A11)*_xlfn.HSTACK((N(data_role_a="attacker")*data_score_b),(N(data_role_b="attacker")*data_score_a)))/SUM(N(data_mission=A11))</f>
        <v>5.666666666666667</v>
      </c>
      <c r="T11" s="60" cm="1">
        <f t="array" ref="T11">SUM(N(data_mission=A11)*_xlfn.HSTACK((N(data_role_a="attacker")*data_units_b),(N(data_role_b="attacker")*data_units_a)))/SUM(N(data_mission=A11))</f>
        <v>2.3333333333333335</v>
      </c>
      <c r="U11" s="58">
        <f t="shared" si="1"/>
        <v>1.5714285714285712</v>
      </c>
      <c r="V11" s="38" t="str" cm="1">
        <f t="array" ref="V11">IF(SUM(N(data_mission=A11)*_xlfn.BYROW(_xlfn.HSTACK(N(data_role_a="defender")*N(player_type_a="Infantry"),N(data_role_b="defender")*N(player_type_b="Infantry")),_xlfn.LAMBDA(_xlpm.row,SUM(_xlpm.row))))=0,"-",(SUM(N(data_mission=A11)*N(data_role_a="defender")*N(player_type_a="Infantry")*N(data_winner="a"))+SUM(N(data_mission=A11)*N(data_role_b="defender")*N(player_type_b="Infantry")*N(data_winner="b")))/SUM(N(data_mission=A11)*_xlfn.BYROW(_xlfn.HSTACK(N(data_role_a="defender")*N(player_type_a="Infantry"),N(data_role_b="defender")*N(player_type_b="Infantry")),_xlfn.LAMBDA(_xlpm.row,SUM(_xlpm.row)))))</f>
        <v>-</v>
      </c>
      <c r="W11" s="51" cm="1">
        <f t="array" ref="W11">SUM(N(data_mission=A11)*_xlfn.BYROW(_xlfn.HSTACK(N(data_role_a="defender")*N(player_type_a="Infantry"),N(data_role_b="defender")*N(player_type_b="Infantry")),_xlfn.LAMBDA(_xlpm.row,SUM(_xlpm.row))))</f>
        <v>0</v>
      </c>
      <c r="X11" s="38" cm="1">
        <f t="array" ref="X11">IF(SUM(N(data_mission=A11)*_xlfn.BYROW(_xlfn.HSTACK(N(data_role_a="defender")*N(player_type_a="Tank"),N(data_role_b="defender")*N(player_type_b="Tank")),_xlfn.LAMBDA(_xlpm.row,SUM(_xlpm.row))))=0,"-",(SUM(N(data_mission=A11)*N(data_role_a="defender")*N(player_type_a="Tank")*N(data_winner="a"))+SUM(N(data_mission=A11)*N(data_role_b="defender")*N(player_type_b="Tank")*N(data_winner="b")))/SUM(N(data_mission=A11)*_xlfn.BYROW(_xlfn.HSTACK(N(data_role_a="defender")*N(player_type_a="Tank"),N(data_role_b="defender")*N(player_type_b="Tank")),_xlfn.LAMBDA(_xlpm.row,SUM(_xlpm.row)))))</f>
        <v>1</v>
      </c>
      <c r="Y11" s="52" cm="1">
        <f t="array" ref="Y11">SUM(N(data_mission=A11)*_xlfn.BYROW(_xlfn.HSTACK(N(data_role_a="defender")*N(player_type_a="Tank"),N(data_role_b="defender")*N(player_type_b="Tank")),_xlfn.LAMBDA(_xlpm.row,SUM(_xlpm.row))))</f>
        <v>1</v>
      </c>
      <c r="Z11" s="38" t="str" cm="1">
        <f t="array" ref="Z11">IF(SUM(N(data_mission=A11)*_xlfn.BYROW(_xlfn.HSTACK(N(data_role_a="defender")*N(player_type_a="Mechanised Infantry"),N(data_role_b="defender")*N(player_type_b="Mechanised Infantry")),_xlfn.LAMBDA(_xlpm.row,SUM(_xlpm.row))))=0,"-",(SUM(N(data_mission=A11)*N(data_role_a="defender")*N(player_type_a="Mechanised Infantry")*N(data_winner="a"))+SUM(N(data_mission=A11)*N(data_role_b="defender")*N(player_type_b="Mechanised Infantry")*N(data_winner="b")))/SUM(N(data_mission=A11)*_xlfn.BYROW(_xlfn.HSTACK(N(data_role_a="defender")*N(player_type_a="Mechanised Infantry"),N(data_role_b="defender")*N(player_type_b="Mechanised Infantry")),_xlfn.LAMBDA(_xlpm.row,SUM(_xlpm.row)))))</f>
        <v>-</v>
      </c>
      <c r="AA11" s="52" cm="1">
        <f t="array" ref="AA11">SUM(N(data_mission=A11)*_xlfn.BYROW(_xlfn.HSTACK(N(data_role_a="defender")*N(player_type_a="Mechanised Infantry"),N(data_role_b="defender")*N(player_type_b="Mechanised Infantry")),_xlfn.LAMBDA(_xlpm.row,SUM(_xlpm.row))))</f>
        <v>0</v>
      </c>
      <c r="AB11" s="38" cm="1">
        <f t="array" ref="AB11">IF(SUM(N(data_mission=A11)*_xlfn.BYROW(_xlfn.HSTACK(N(data_role_a="defender")*N(NOT(ISERROR(SEARCH("Combined",player_type_a)))),N(data_role_b="defender")*N(NOT(ISERROR(SEARCH("Combined",player_type_b))))),_xlfn.LAMBDA(_xlpm.row,SUM(_xlpm.row))))=0,"-",(SUM(N(data_mission=A11)*N(data_role_a="defender")*N(NOT(ISERROR(SEARCH("Combined",player_type_a))))*N(data_winner="a"))+SUM(N(data_mission=A11)*N(data_role_b="defender")*N(NOT(ISERROR(SEARCH("Combined",player_type_b))))*N(data_winner="b")))/SUM(N(data_mission=A11)*_xlfn.BYROW(_xlfn.HSTACK(N(data_role_a="defender")*N(NOT(ISERROR(SEARCH("Combined",player_type_a)))),N(data_role_b="defender")*N(NOT(ISERROR(SEARCH("Combined",player_type_b))))),_xlfn.LAMBDA(_xlpm.row,SUM(_xlpm.row)))))</f>
        <v>0.5</v>
      </c>
      <c r="AC11" s="52" cm="1">
        <f t="array" ref="AC11">SUM(N(data_mission=A11)*_xlfn.BYROW(_xlfn.HSTACK(N(data_role_a="defender")*N(NOT(ISERROR(SEARCH("Combined",player_type_a)))),N(data_role_b="defender")*N(NOT(ISERROR(SEARCH("Combined",player_type_b))))),_xlfn.LAMBDA(_xlpm.row,SUM(_xlpm.row))))</f>
        <v>2</v>
      </c>
    </row>
    <row r="12" spans="1:29" x14ac:dyDescent="0.25">
      <c r="A12" t="s">
        <v>20</v>
      </c>
      <c r="B12" s="1" t="s">
        <v>205</v>
      </c>
      <c r="C12" s="50" cm="1">
        <f t="array" ref="C12">SUM(N(data_mod!C2:C63=A12))</f>
        <v>3</v>
      </c>
      <c r="D12" s="39" cm="1">
        <f t="array" ref="D12">SUM(N(data_mission=A12)*N(data_winner="none"))/SUM(N(data_mission=A12))</f>
        <v>0</v>
      </c>
      <c r="E12" s="60" cm="1">
        <f t="array" ref="E12">SUM(N(data_mission=A12)*data_turns)/SUM(N(data_mission=A12))</f>
        <v>4.666666666666667</v>
      </c>
      <c r="F12" s="38" cm="1">
        <f t="array" ref="F12">SUM(N(data_mission=A12)*(_xlfn.BYROW(_xlfn.HSTACK(N(data_winner="a")*N(data_role_a="attacker"),N(data_winner="b")*N(data_role_b="attacker")),_xlfn.LAMBDA(_xlpm.row,SUM(_xlpm.row)))))/SUM(N(data_mission=A12))</f>
        <v>0.33333333333333331</v>
      </c>
      <c r="G12" s="60" cm="1">
        <f t="array" ref="G12">SUM(N(data_mission=A12)*_xlfn.HSTACK((N(data_role_a="attacker")*data_score_a),(N(data_role_b="attacker")*data_score_b)))/SUM(N(data_mission=A12))</f>
        <v>3.6666666666666665</v>
      </c>
      <c r="H12" s="60" cm="1">
        <f t="array" ref="H12">SUM(N(data_mission=A12)*_xlfn.HSTACK((N(data_role_a="attacker")*data_units_a),(N(data_role_b="attacker")*data_units_b)))/SUM(N(data_mission=A12))</f>
        <v>2.3333333333333335</v>
      </c>
      <c r="I12" s="58">
        <f t="shared" si="0"/>
        <v>0.42857142857142855</v>
      </c>
      <c r="J12" s="38" cm="1">
        <f t="array" ref="J12">IF(SUM(N(data_mission=A12)*_xlfn.BYROW(_xlfn.HSTACK(N(data_role_a="attacker")*N(player_type_a="Infantry"),N(data_role_b="attacker")*N(player_type_b="Infantry")),_xlfn.LAMBDA(_xlpm.row,SUM(_xlpm.row))))=0,"-",(SUM(N(data_mission=A12)*N(data_role_a="attacker")*N(player_type_a="Infantry")*N(data_winner="a"))+SUM(N(data_mission=A12)*N(data_role_b="attacker")*N(player_type_b="Infantry")*N(data_winner="b")))/SUM(N(data_mission=A12)*_xlfn.BYROW(_xlfn.HSTACK(N(data_role_a="attacker")*N(player_type_a="Infantry"),N(data_role_b="attacker")*N(player_type_b="Infantry")),_xlfn.LAMBDA(_xlpm.row,SUM(_xlpm.row)))))</f>
        <v>0</v>
      </c>
      <c r="K12" s="56" cm="1">
        <f t="array" ref="K12">SUM(N(data_mission=A12)*_xlfn.BYROW(_xlfn.HSTACK(N(data_role_a="attacker")*N(player_type_a="Infantry"),N(data_role_b="attacker")*N(player_type_b="Infantry")),_xlfn.LAMBDA(_xlpm.row,SUM(_xlpm.row))))</f>
        <v>1</v>
      </c>
      <c r="L12" s="38" cm="1">
        <f t="array" ref="L12">IF(SUM(N(data_mission=A12)*_xlfn.BYROW(_xlfn.HSTACK(N(data_role_a="attacker")*N(player_type_a="Tank"),N(data_role_b="attacker")*N(player_type_b="Tank")),_xlfn.LAMBDA(_xlpm.row,SUM(_xlpm.row))))=0,"-",(SUM(N(data_mission=A12)*N(data_role_a="attacker")*N(player_type_a="Tank")*N(data_winner="a"))+SUM(N(data_mission=A12)*N(data_role_b="attacker")*N(player_type_b="Tank")*N(data_winner="b")))/SUM(N(data_mission=A12)*_xlfn.BYROW(_xlfn.HSTACK(N(data_role_a="attacker")*N(player_type_a="Tank"),N(data_role_b="attacker")*N(player_type_b="Tank")),_xlfn.LAMBDA(_xlpm.row,SUM(_xlpm.row)))))</f>
        <v>0.5</v>
      </c>
      <c r="M12" s="56" cm="1">
        <f t="array" ref="M12">SUM(N(data_mission=A12)*_xlfn.BYROW(_xlfn.HSTACK(N(data_role_a="attacker")*N(player_type_a="Tank"),N(data_role_b="attacker")*N(player_type_b="Tank")),_xlfn.LAMBDA(_xlpm.row,SUM(_xlpm.row))))</f>
        <v>2</v>
      </c>
      <c r="N12" s="38" t="str" cm="1">
        <f t="array" ref="N12">IF(SUM(N(data_mission=A12)*_xlfn.BYROW(_xlfn.HSTACK(N(data_role_a="attacker")*N(player_type_a="Mechanised Infantry"),N(data_role_b="attacker")*N(player_type_b="Mechanised Infantry")),_xlfn.LAMBDA(_xlpm.row,SUM(_xlpm.row))))=0,"-",(SUM(N(data_mission=A12)*N(data_role_a="attacker")*N(player_type_a="Mechanised Infantry")*N(data_winner="a"))+SUM(N(data_mission=A12)*N(data_role_b="attacker")*N(player_type_b="Mechanised Infantry")*N(data_winner="b")))/SUM(N(data_mission=A12)*_xlfn.BYROW(_xlfn.HSTACK(N(data_role_a="attacker")*N(player_type_a="Mechanised Infantry"),N(data_role_b="attacker")*N(player_type_b="Mechanised Infantry")),_xlfn.LAMBDA(_xlpm.row,SUM(_xlpm.row)))))</f>
        <v>-</v>
      </c>
      <c r="O12" s="56" cm="1">
        <f t="array" ref="O12">SUM(N(data_mission=A12)*_xlfn.BYROW(_xlfn.HSTACK(N(data_role_a="attacker")*N(player_type_a="Mechanised Infantry"),N(data_role_b="attacker")*N(player_type_b="Mechanised Infantry")),_xlfn.LAMBDA(_xlpm.row,SUM(_xlpm.row))))</f>
        <v>0</v>
      </c>
      <c r="P12" s="38" t="str" cm="1">
        <f t="array" ref="P12">IF(SUM(N(data_mission=A12)*_xlfn.BYROW(_xlfn.HSTACK(N(data_role_a="attacker")*N(NOT(ISERROR(SEARCH("Combined",player_type_a)))),N(data_role_b="attacker")*N(NOT(ISERROR(SEARCH("Combined",player_type_b))))),_xlfn.LAMBDA(_xlpm.row,SUM(_xlpm.row))))=0,"-",(SUM(N(data_mission=A12)*N(data_role_a="attacker")*N(NOT(ISERROR(SEARCH("Combined",player_type_a))))*N(data_winner="a"))+SUM(N(data_mission=A12)*N(data_role_b="attacker")*N(NOT(ISERROR(SEARCH("Combined",player_type_b))))*N(data_winner="b")))/SUM(N(data_mission=A12)*_xlfn.BYROW(_xlfn.HSTACK(N(data_role_a="attacker")*N(NOT(ISERROR(SEARCH("Combined",player_type_a)))),N(data_role_b="attacker")*N(NOT(ISERROR(SEARCH("Combined",player_type_b))))),_xlfn.LAMBDA(_xlpm.row,SUM(_xlpm.row)))))</f>
        <v>-</v>
      </c>
      <c r="Q12" s="56" cm="1">
        <f t="array" ref="Q12">SUM(N(data_mission=A12)*_xlfn.BYROW(_xlfn.HSTACK(N(data_role_a="attacker")*N(NOT(ISERROR(SEARCH("Combined",player_type_a)))),N(data_role_b="attacker")*N(NOT(ISERROR(SEARCH("Combined",player_type_b))))),_xlfn.LAMBDA(_xlpm.row,SUM(_xlpm.row))))</f>
        <v>0</v>
      </c>
      <c r="R12" s="38" cm="1">
        <f t="array" ref="R12">SUM(N(data_mission=A12)*(_xlfn.BYROW(_xlfn.HSTACK(N(data_winner="b")*N(data_role_a="attacker"),N(data_winner="a")*N(data_role_b="attacker")),_xlfn.LAMBDA(_xlpm.row,SUM(_xlpm.row)))))/SUM(N(data_mission=A12))</f>
        <v>0.66666666666666663</v>
      </c>
      <c r="S12" s="60" cm="1">
        <f t="array" ref="S12">SUM(N(data_mission=A12)*_xlfn.HSTACK((N(data_role_a="attacker")*data_score_b),(N(data_role_b="attacker")*data_score_a)))/SUM(N(data_mission=A12))</f>
        <v>5.333333333333333</v>
      </c>
      <c r="T12" s="60" cm="1">
        <f t="array" ref="T12">SUM(N(data_mission=A12)*_xlfn.HSTACK((N(data_role_a="attacker")*data_units_b),(N(data_role_b="attacker")*data_units_a)))/SUM(N(data_mission=A12))</f>
        <v>1</v>
      </c>
      <c r="U12" s="58">
        <f t="shared" si="1"/>
        <v>2.3333333333333335</v>
      </c>
      <c r="V12" s="38" cm="1">
        <f t="array" ref="V12">IF(SUM(N(data_mission=A12)*_xlfn.BYROW(_xlfn.HSTACK(N(data_role_a="defender")*N(player_type_a="Infantry"),N(data_role_b="defender")*N(player_type_b="Infantry")),_xlfn.LAMBDA(_xlpm.row,SUM(_xlpm.row))))=0,"-",(SUM(N(data_mission=A12)*N(data_role_a="defender")*N(player_type_a="Infantry")*N(data_winner="a"))+SUM(N(data_mission=A12)*N(data_role_b="defender")*N(player_type_b="Infantry")*N(data_winner="b")))/SUM(N(data_mission=A12)*_xlfn.BYROW(_xlfn.HSTACK(N(data_role_a="defender")*N(player_type_a="Infantry"),N(data_role_b="defender")*N(player_type_b="Infantry")),_xlfn.LAMBDA(_xlpm.row,SUM(_xlpm.row)))))</f>
        <v>1</v>
      </c>
      <c r="W12" s="51" cm="1">
        <f t="array" ref="W12">SUM(N(data_mission=A12)*_xlfn.BYROW(_xlfn.HSTACK(N(data_role_a="defender")*N(player_type_a="Infantry"),N(data_role_b="defender")*N(player_type_b="Infantry")),_xlfn.LAMBDA(_xlpm.row,SUM(_xlpm.row))))</f>
        <v>2</v>
      </c>
      <c r="X12" s="38" cm="1">
        <f t="array" ref="X12">IF(SUM(N(data_mission=A12)*_xlfn.BYROW(_xlfn.HSTACK(N(data_role_a="defender")*N(player_type_a="Tank"),N(data_role_b="defender")*N(player_type_b="Tank")),_xlfn.LAMBDA(_xlpm.row,SUM(_xlpm.row))))=0,"-",(SUM(N(data_mission=A12)*N(data_role_a="defender")*N(player_type_a="Tank")*N(data_winner="a"))+SUM(N(data_mission=A12)*N(data_role_b="defender")*N(player_type_b="Tank")*N(data_winner="b")))/SUM(N(data_mission=A12)*_xlfn.BYROW(_xlfn.HSTACK(N(data_role_a="defender")*N(player_type_a="Tank"),N(data_role_b="defender")*N(player_type_b="Tank")),_xlfn.LAMBDA(_xlpm.row,SUM(_xlpm.row)))))</f>
        <v>0</v>
      </c>
      <c r="Y12" s="52" cm="1">
        <f t="array" ref="Y12">SUM(N(data_mission=A12)*_xlfn.BYROW(_xlfn.HSTACK(N(data_role_a="defender")*N(player_type_a="Tank"),N(data_role_b="defender")*N(player_type_b="Tank")),_xlfn.LAMBDA(_xlpm.row,SUM(_xlpm.row))))</f>
        <v>1</v>
      </c>
      <c r="Z12" s="38" t="str" cm="1">
        <f t="array" ref="Z12">IF(SUM(N(data_mission=A12)*_xlfn.BYROW(_xlfn.HSTACK(N(data_role_a="defender")*N(player_type_a="Mechanised Infantry"),N(data_role_b="defender")*N(player_type_b="Mechanised Infantry")),_xlfn.LAMBDA(_xlpm.row,SUM(_xlpm.row))))=0,"-",(SUM(N(data_mission=A12)*N(data_role_a="defender")*N(player_type_a="Mechanised Infantry")*N(data_winner="a"))+SUM(N(data_mission=A12)*N(data_role_b="defender")*N(player_type_b="Mechanised Infantry")*N(data_winner="b")))/SUM(N(data_mission=A12)*_xlfn.BYROW(_xlfn.HSTACK(N(data_role_a="defender")*N(player_type_a="Mechanised Infantry"),N(data_role_b="defender")*N(player_type_b="Mechanised Infantry")),_xlfn.LAMBDA(_xlpm.row,SUM(_xlpm.row)))))</f>
        <v>-</v>
      </c>
      <c r="AA12" s="52" cm="1">
        <f t="array" ref="AA12">SUM(N(data_mission=A12)*_xlfn.BYROW(_xlfn.HSTACK(N(data_role_a="defender")*N(player_type_a="Mechanised Infantry"),N(data_role_b="defender")*N(player_type_b="Mechanised Infantry")),_xlfn.LAMBDA(_xlpm.row,SUM(_xlpm.row))))</f>
        <v>0</v>
      </c>
      <c r="AB12" s="38" t="str" cm="1">
        <f t="array" ref="AB12">IF(SUM(N(data_mission=A12)*_xlfn.BYROW(_xlfn.HSTACK(N(data_role_a="defender")*N(NOT(ISERROR(SEARCH("Combined",player_type_a)))),N(data_role_b="defender")*N(NOT(ISERROR(SEARCH("Combined",player_type_b))))),_xlfn.LAMBDA(_xlpm.row,SUM(_xlpm.row))))=0,"-",(SUM(N(data_mission=A12)*N(data_role_a="defender")*N(NOT(ISERROR(SEARCH("Combined",player_type_a))))*N(data_winner="a"))+SUM(N(data_mission=A12)*N(data_role_b="defender")*N(NOT(ISERROR(SEARCH("Combined",player_type_b))))*N(data_winner="b")))/SUM(N(data_mission=A12)*_xlfn.BYROW(_xlfn.HSTACK(N(data_role_a="defender")*N(NOT(ISERROR(SEARCH("Combined",player_type_a)))),N(data_role_b="defender")*N(NOT(ISERROR(SEARCH("Combined",player_type_b))))),_xlfn.LAMBDA(_xlpm.row,SUM(_xlpm.row)))))</f>
        <v>-</v>
      </c>
      <c r="AC12" s="52" cm="1">
        <f t="array" ref="AC12">SUM(N(data_mission=A12)*_xlfn.BYROW(_xlfn.HSTACK(N(data_role_a="defender")*N(NOT(ISERROR(SEARCH("Combined",player_type_a)))),N(data_role_b="defender")*N(NOT(ISERROR(SEARCH("Combined",player_type_b))))),_xlfn.LAMBDA(_xlpm.row,SUM(_xlpm.row))))</f>
        <v>0</v>
      </c>
    </row>
    <row r="13" spans="1:29" x14ac:dyDescent="0.25">
      <c r="A13" t="s">
        <v>92</v>
      </c>
      <c r="B13" s="1" t="s">
        <v>217</v>
      </c>
      <c r="C13" s="50" cm="1">
        <f t="array" ref="C13">SUM(N(data_mod!C10:C71=A13))</f>
        <v>5</v>
      </c>
      <c r="D13" s="39" cm="1">
        <f t="array" ref="D13">SUM(N(data_mission=A13)*N(data_winner="none"))/SUM(N(data_mission=A13))</f>
        <v>0.6</v>
      </c>
      <c r="E13" s="60" cm="1">
        <f t="array" ref="E13">SUM(N(data_mission=A13)*data_turns)/SUM(N(data_mission=A13))</f>
        <v>7.8</v>
      </c>
      <c r="F13" s="38" cm="1">
        <f t="array" ref="F13">SUM(N(data_mission=A13)*(_xlfn.BYROW(_xlfn.HSTACK(N(data_winner="a")*N(data_role_a="attacker"),N(data_winner="b")*N(data_role_b="attacker")),_xlfn.LAMBDA(_xlpm.row,SUM(_xlpm.row)))))/SUM(N(data_mission=A13))</f>
        <v>0</v>
      </c>
      <c r="G13" s="60" cm="1">
        <f t="array" ref="G13">SUM(N(data_mission=A13)*_xlfn.HSTACK((N(data_role_a="attacker")*data_score_a),(N(data_role_b="attacker")*data_score_b)))/SUM(N(data_mission=A13))</f>
        <v>1.8</v>
      </c>
      <c r="H13" s="60" cm="1">
        <f t="array" ref="H13">SUM(N(data_mission=A13)*_xlfn.HSTACK((N(data_role_a="attacker")*data_units_a),(N(data_role_b="attacker")*data_units_b)))/SUM(N(data_mission=A13))</f>
        <v>3.4</v>
      </c>
      <c r="I13" s="58">
        <f t="shared" si="0"/>
        <v>0.76470588235294124</v>
      </c>
      <c r="J13" s="38" cm="1">
        <f t="array" ref="J13">IF(SUM(N(data_mission=A13)*_xlfn.BYROW(_xlfn.HSTACK(N(data_role_a="attacker")*N(player_type_a="Infantry"),N(data_role_b="attacker")*N(player_type_b="Infantry")),_xlfn.LAMBDA(_xlpm.row,SUM(_xlpm.row))))=0,"-",(SUM(N(data_mission=A13)*N(data_role_a="attacker")*N(player_type_a="Infantry")*N(data_winner="a"))+SUM(N(data_mission=A13)*N(data_role_b="attacker")*N(player_type_b="Infantry")*N(data_winner="b")))/SUM(N(data_mission=A13)*_xlfn.BYROW(_xlfn.HSTACK(N(data_role_a="attacker")*N(player_type_a="Infantry"),N(data_role_b="attacker")*N(player_type_b="Infantry")),_xlfn.LAMBDA(_xlpm.row,SUM(_xlpm.row)))))</f>
        <v>0</v>
      </c>
      <c r="K13" s="56" cm="1">
        <f t="array" ref="K13">SUM(N(data_mission=A13)*_xlfn.BYROW(_xlfn.HSTACK(N(data_role_a="attacker")*N(player_type_a="Infantry"),N(data_role_b="attacker")*N(player_type_b="Infantry")),_xlfn.LAMBDA(_xlpm.row,SUM(_xlpm.row))))</f>
        <v>2</v>
      </c>
      <c r="L13" s="38" cm="1">
        <f t="array" ref="L13">IF(SUM(N(data_mission=A13)*_xlfn.BYROW(_xlfn.HSTACK(N(data_role_a="attacker")*N(player_type_a="Tank"),N(data_role_b="attacker")*N(player_type_b="Tank")),_xlfn.LAMBDA(_xlpm.row,SUM(_xlpm.row))))=0,"-",(SUM(N(data_mission=A13)*N(data_role_a="attacker")*N(player_type_a="Tank")*N(data_winner="a"))+SUM(N(data_mission=A13)*N(data_role_b="attacker")*N(player_type_b="Tank")*N(data_winner="b")))/SUM(N(data_mission=A13)*_xlfn.BYROW(_xlfn.HSTACK(N(data_role_a="attacker")*N(player_type_a="Tank"),N(data_role_b="attacker")*N(player_type_b="Tank")),_xlfn.LAMBDA(_xlpm.row,SUM(_xlpm.row)))))</f>
        <v>0</v>
      </c>
      <c r="M13" s="56" cm="1">
        <f t="array" ref="M13">SUM(N(data_mission=A13)*_xlfn.BYROW(_xlfn.HSTACK(N(data_role_a="attacker")*N(player_type_a="Tank"),N(data_role_b="attacker")*N(player_type_b="Tank")),_xlfn.LAMBDA(_xlpm.row,SUM(_xlpm.row))))</f>
        <v>1</v>
      </c>
      <c r="N13" s="38" t="str" cm="1">
        <f t="array" ref="N13">IF(SUM(N(data_mission=A13)*_xlfn.BYROW(_xlfn.HSTACK(N(data_role_a="attacker")*N(player_type_a="Mechanised Infantry"),N(data_role_b="attacker")*N(player_type_b="Mechanised Infantry")),_xlfn.LAMBDA(_xlpm.row,SUM(_xlpm.row))))=0,"-",(SUM(N(data_mission=A13)*N(data_role_a="attacker")*N(player_type_a="Mechanised Infantry")*N(data_winner="a"))+SUM(N(data_mission=A13)*N(data_role_b="attacker")*N(player_type_b="Mechanised Infantry")*N(data_winner="b")))/SUM(N(data_mission=A13)*_xlfn.BYROW(_xlfn.HSTACK(N(data_role_a="attacker")*N(player_type_a="Mechanised Infantry"),N(data_role_b="attacker")*N(player_type_b="Mechanised Infantry")),_xlfn.LAMBDA(_xlpm.row,SUM(_xlpm.row)))))</f>
        <v>-</v>
      </c>
      <c r="O13" s="56" cm="1">
        <f t="array" ref="O13">SUM(N(data_mission=A13)*_xlfn.BYROW(_xlfn.HSTACK(N(data_role_a="attacker")*N(player_type_a="Mechanised Infantry"),N(data_role_b="attacker")*N(player_type_b="Mechanised Infantry")),_xlfn.LAMBDA(_xlpm.row,SUM(_xlpm.row))))</f>
        <v>0</v>
      </c>
      <c r="P13" s="38" cm="1">
        <f t="array" ref="P13">IF(SUM(N(data_mission=A13)*_xlfn.BYROW(_xlfn.HSTACK(N(data_role_a="attacker")*N(NOT(ISERROR(SEARCH("Combined",player_type_a)))),N(data_role_b="attacker")*N(NOT(ISERROR(SEARCH("Combined",player_type_b))))),_xlfn.LAMBDA(_xlpm.row,SUM(_xlpm.row))))=0,"-",(SUM(N(data_mission=A13)*N(data_role_a="attacker")*N(NOT(ISERROR(SEARCH("Combined",player_type_a))))*N(data_winner="a"))+SUM(N(data_mission=A13)*N(data_role_b="attacker")*N(NOT(ISERROR(SEARCH("Combined",player_type_b))))*N(data_winner="b")))/SUM(N(data_mission=A13)*_xlfn.BYROW(_xlfn.HSTACK(N(data_role_a="attacker")*N(NOT(ISERROR(SEARCH("Combined",player_type_a)))),N(data_role_b="attacker")*N(NOT(ISERROR(SEARCH("Combined",player_type_b))))),_xlfn.LAMBDA(_xlpm.row,SUM(_xlpm.row)))))</f>
        <v>0</v>
      </c>
      <c r="Q13" s="56" cm="1">
        <f t="array" ref="Q13">SUM(N(data_mission=A13)*_xlfn.BYROW(_xlfn.HSTACK(N(data_role_a="attacker")*N(NOT(ISERROR(SEARCH("Combined",player_type_a)))),N(data_role_b="attacker")*N(NOT(ISERROR(SEARCH("Combined",player_type_b))))),_xlfn.LAMBDA(_xlpm.row,SUM(_xlpm.row))))</f>
        <v>2</v>
      </c>
      <c r="R13" s="38" cm="1">
        <f t="array" ref="R13">SUM(N(data_mission=A13)*(_xlfn.BYROW(_xlfn.HSTACK(N(data_winner="b")*N(data_role_a="attacker"),N(data_winner="a")*N(data_role_b="attacker")),_xlfn.LAMBDA(_xlpm.row,SUM(_xlpm.row)))))/SUM(N(data_mission=A13))</f>
        <v>0.4</v>
      </c>
      <c r="S13" s="60" cm="1">
        <f t="array" ref="S13">SUM(N(data_mission=A13)*_xlfn.HSTACK((N(data_role_a="attacker")*data_score_b),(N(data_role_b="attacker")*data_score_a)))/SUM(N(data_mission=A13))</f>
        <v>4.2</v>
      </c>
      <c r="T13" s="60" cm="1">
        <f t="array" ref="T13">SUM(N(data_mission=A13)*_xlfn.HSTACK((N(data_role_a="attacker")*data_units_b),(N(data_role_b="attacker")*data_units_a)))/SUM(N(data_mission=A13))</f>
        <v>2.6</v>
      </c>
      <c r="U13" s="58">
        <f t="shared" si="1"/>
        <v>1.3076923076923077</v>
      </c>
      <c r="V13" s="38" cm="1">
        <f t="array" ref="V13">IF(SUM(N(data_mission=A13)*_xlfn.BYROW(_xlfn.HSTACK(N(data_role_a="defender")*N(player_type_a="Infantry"),N(data_role_b="defender")*N(player_type_b="Infantry")),_xlfn.LAMBDA(_xlpm.row,SUM(_xlpm.row))))=0,"-",(SUM(N(data_mission=A13)*N(data_role_a="defender")*N(player_type_a="Infantry")*N(data_winner="a"))+SUM(N(data_mission=A13)*N(data_role_b="defender")*N(player_type_b="Infantry")*N(data_winner="b")))/SUM(N(data_mission=A13)*_xlfn.BYROW(_xlfn.HSTACK(N(data_role_a="defender")*N(player_type_a="Infantry"),N(data_role_b="defender")*N(player_type_b="Infantry")),_xlfn.LAMBDA(_xlpm.row,SUM(_xlpm.row)))))</f>
        <v>0.5</v>
      </c>
      <c r="W13" s="51" cm="1">
        <f t="array" ref="W13">SUM(N(data_mission=A13)*_xlfn.BYROW(_xlfn.HSTACK(N(data_role_a="defender")*N(player_type_a="Infantry"),N(data_role_b="defender")*N(player_type_b="Infantry")),_xlfn.LAMBDA(_xlpm.row,SUM(_xlpm.row))))</f>
        <v>4</v>
      </c>
      <c r="X13" s="38" t="str" cm="1">
        <f t="array" ref="X13">IF(SUM(N(data_mission=A13)*_xlfn.BYROW(_xlfn.HSTACK(N(data_role_a="defender")*N(player_type_a="Tank"),N(data_role_b="defender")*N(player_type_b="Tank")),_xlfn.LAMBDA(_xlpm.row,SUM(_xlpm.row))))=0,"-",(SUM(N(data_mission=A13)*N(data_role_a="defender")*N(player_type_a="Tank")*N(data_winner="a"))+SUM(N(data_mission=A13)*N(data_role_b="defender")*N(player_type_b="Tank")*N(data_winner="b")))/SUM(N(data_mission=A13)*_xlfn.BYROW(_xlfn.HSTACK(N(data_role_a="defender")*N(player_type_a="Tank"),N(data_role_b="defender")*N(player_type_b="Tank")),_xlfn.LAMBDA(_xlpm.row,SUM(_xlpm.row)))))</f>
        <v>-</v>
      </c>
      <c r="Y13" s="52" cm="1">
        <f t="array" ref="Y13">SUM(N(data_mission=A13)*_xlfn.BYROW(_xlfn.HSTACK(N(data_role_a="defender")*N(player_type_a="Tank"),N(data_role_b="defender")*N(player_type_b="Tank")),_xlfn.LAMBDA(_xlpm.row,SUM(_xlpm.row))))</f>
        <v>0</v>
      </c>
      <c r="Z13" s="38" cm="1">
        <f t="array" ref="Z13">IF(SUM(N(data_mission=A13)*_xlfn.BYROW(_xlfn.HSTACK(N(data_role_a="defender")*N(player_type_a="Mechanised Infantry"),N(data_role_b="defender")*N(player_type_b="Mechanised Infantry")),_xlfn.LAMBDA(_xlpm.row,SUM(_xlpm.row))))=0,"-",(SUM(N(data_mission=A13)*N(data_role_a="defender")*N(player_type_a="Mechanised Infantry")*N(data_winner="a"))+SUM(N(data_mission=A13)*N(data_role_b="defender")*N(player_type_b="Mechanised Infantry")*N(data_winner="b")))/SUM(N(data_mission=A13)*_xlfn.BYROW(_xlfn.HSTACK(N(data_role_a="defender")*N(player_type_a="Mechanised Infantry"),N(data_role_b="defender")*N(player_type_b="Mechanised Infantry")),_xlfn.LAMBDA(_xlpm.row,SUM(_xlpm.row)))))</f>
        <v>0</v>
      </c>
      <c r="AA13" s="52" cm="1">
        <f t="array" ref="AA13">SUM(N(data_mission=A13)*_xlfn.BYROW(_xlfn.HSTACK(N(data_role_a="defender")*N(player_type_a="Mechanised Infantry"),N(data_role_b="defender")*N(player_type_b="Mechanised Infantry")),_xlfn.LAMBDA(_xlpm.row,SUM(_xlpm.row))))</f>
        <v>1</v>
      </c>
      <c r="AB13" s="38" t="str" cm="1">
        <f t="array" ref="AB13">IF(SUM(N(data_mission=A13)*_xlfn.BYROW(_xlfn.HSTACK(N(data_role_a="defender")*N(NOT(ISERROR(SEARCH("Combined",player_type_a)))),N(data_role_b="defender")*N(NOT(ISERROR(SEARCH("Combined",player_type_b))))),_xlfn.LAMBDA(_xlpm.row,SUM(_xlpm.row))))=0,"-",(SUM(N(data_mission=A13)*N(data_role_a="defender")*N(NOT(ISERROR(SEARCH("Combined",player_type_a))))*N(data_winner="a"))+SUM(N(data_mission=A13)*N(data_role_b="defender")*N(NOT(ISERROR(SEARCH("Combined",player_type_b))))*N(data_winner="b")))/SUM(N(data_mission=A13)*_xlfn.BYROW(_xlfn.HSTACK(N(data_role_a="defender")*N(NOT(ISERROR(SEARCH("Combined",player_type_a)))),N(data_role_b="defender")*N(NOT(ISERROR(SEARCH("Combined",player_type_b))))),_xlfn.LAMBDA(_xlpm.row,SUM(_xlpm.row)))))</f>
        <v>-</v>
      </c>
      <c r="AC13" s="52" cm="1">
        <f t="array" ref="AC13">SUM(N(data_mission=A13)*_xlfn.BYROW(_xlfn.HSTACK(N(data_role_a="defender")*N(NOT(ISERROR(SEARCH("Combined",player_type_a)))),N(data_role_b="defender")*N(NOT(ISERROR(SEARCH("Combined",player_type_b))))),_xlfn.LAMBDA(_xlpm.row,SUM(_xlpm.row))))</f>
        <v>0</v>
      </c>
    </row>
    <row r="14" spans="1:29" x14ac:dyDescent="0.25">
      <c r="A14" t="s">
        <v>64</v>
      </c>
      <c r="B14" s="1" t="s">
        <v>215</v>
      </c>
      <c r="C14" s="50" cm="1">
        <f t="array" ref="C14">SUM(N(data_mod!C6:C67=A14))</f>
        <v>2</v>
      </c>
      <c r="D14" s="39" cm="1">
        <f t="array" ref="D14">SUM(N(data_mission=A14)*N(data_winner="none"))/SUM(N(data_mission=A14))</f>
        <v>0</v>
      </c>
      <c r="E14" s="60" cm="1">
        <f t="array" ref="E14">SUM(N(data_mission=A14)*data_turns)/SUM(N(data_mission=A14))</f>
        <v>4</v>
      </c>
      <c r="F14" s="38" cm="1">
        <f t="array" ref="F14">SUM(N(data_mission=A14)*(_xlfn.BYROW(_xlfn.HSTACK(N(data_winner="a")*N(data_role_a="attacker"),N(data_winner="b")*N(data_role_b="attacker")),_xlfn.LAMBDA(_xlpm.row,SUM(_xlpm.row)))))/SUM(N(data_mission=A14))</f>
        <v>1</v>
      </c>
      <c r="G14" s="60" cm="1">
        <f t="array" ref="G14">SUM(N(data_mission=A14)*_xlfn.HSTACK((N(data_role_a="attacker")*data_score_a),(N(data_role_b="attacker")*data_score_b)))/SUM(N(data_mission=A14))</f>
        <v>7</v>
      </c>
      <c r="H14" s="60" cm="1">
        <f t="array" ref="H14">SUM(N(data_mission=A14)*_xlfn.HSTACK((N(data_role_a="attacker")*data_units_a),(N(data_role_b="attacker")*data_units_b)))/SUM(N(data_mission=A14))</f>
        <v>1.5</v>
      </c>
      <c r="I14" s="58">
        <f t="shared" si="0"/>
        <v>3</v>
      </c>
      <c r="J14" s="38" t="str" cm="1">
        <f t="array" ref="J14">IF(SUM(N(data_mission=A14)*_xlfn.BYROW(_xlfn.HSTACK(N(data_role_a="attacker")*N(player_type_a="Infantry"),N(data_role_b="attacker")*N(player_type_b="Infantry")),_xlfn.LAMBDA(_xlpm.row,SUM(_xlpm.row))))=0,"-",(SUM(N(data_mission=A14)*N(data_role_a="attacker")*N(player_type_a="Infantry")*N(data_winner="a"))+SUM(N(data_mission=A14)*N(data_role_b="attacker")*N(player_type_b="Infantry")*N(data_winner="b")))/SUM(N(data_mission=A14)*_xlfn.BYROW(_xlfn.HSTACK(N(data_role_a="attacker")*N(player_type_a="Infantry"),N(data_role_b="attacker")*N(player_type_b="Infantry")),_xlfn.LAMBDA(_xlpm.row,SUM(_xlpm.row)))))</f>
        <v>-</v>
      </c>
      <c r="K14" s="56" cm="1">
        <f t="array" ref="K14">SUM(N(data_mission=A14)*_xlfn.BYROW(_xlfn.HSTACK(N(data_role_a="attacker")*N(player_type_a="Infantry"),N(data_role_b="attacker")*N(player_type_b="Infantry")),_xlfn.LAMBDA(_xlpm.row,SUM(_xlpm.row))))</f>
        <v>0</v>
      </c>
      <c r="L14" s="38" cm="1">
        <f t="array" ref="L14">IF(SUM(N(data_mission=A14)*_xlfn.BYROW(_xlfn.HSTACK(N(data_role_a="attacker")*N(player_type_a="Tank"),N(data_role_b="attacker")*N(player_type_b="Tank")),_xlfn.LAMBDA(_xlpm.row,SUM(_xlpm.row))))=0,"-",(SUM(N(data_mission=A14)*N(data_role_a="attacker")*N(player_type_a="Tank")*N(data_winner="a"))+SUM(N(data_mission=A14)*N(data_role_b="attacker")*N(player_type_b="Tank")*N(data_winner="b")))/SUM(N(data_mission=A14)*_xlfn.BYROW(_xlfn.HSTACK(N(data_role_a="attacker")*N(player_type_a="Tank"),N(data_role_b="attacker")*N(player_type_b="Tank")),_xlfn.LAMBDA(_xlpm.row,SUM(_xlpm.row)))))</f>
        <v>1</v>
      </c>
      <c r="M14" s="56" cm="1">
        <f t="array" ref="M14">SUM(N(data_mission=A14)*_xlfn.BYROW(_xlfn.HSTACK(N(data_role_a="attacker")*N(player_type_a="Tank"),N(data_role_b="attacker")*N(player_type_b="Tank")),_xlfn.LAMBDA(_xlpm.row,SUM(_xlpm.row))))</f>
        <v>1</v>
      </c>
      <c r="N14" s="38" t="str" cm="1">
        <f t="array" ref="N14">IF(SUM(N(data_mission=A14)*_xlfn.BYROW(_xlfn.HSTACK(N(data_role_a="attacker")*N(player_type_a="Mechanised Infantry"),N(data_role_b="attacker")*N(player_type_b="Mechanised Infantry")),_xlfn.LAMBDA(_xlpm.row,SUM(_xlpm.row))))=0,"-",(SUM(N(data_mission=A14)*N(data_role_a="attacker")*N(player_type_a="Mechanised Infantry")*N(data_winner="a"))+SUM(N(data_mission=A14)*N(data_role_b="attacker")*N(player_type_b="Mechanised Infantry")*N(data_winner="b")))/SUM(N(data_mission=A14)*_xlfn.BYROW(_xlfn.HSTACK(N(data_role_a="attacker")*N(player_type_a="Mechanised Infantry"),N(data_role_b="attacker")*N(player_type_b="Mechanised Infantry")),_xlfn.LAMBDA(_xlpm.row,SUM(_xlpm.row)))))</f>
        <v>-</v>
      </c>
      <c r="O14" s="56" cm="1">
        <f t="array" ref="O14">SUM(N(data_mission=A14)*_xlfn.BYROW(_xlfn.HSTACK(N(data_role_a="attacker")*N(player_type_a="Mechanised Infantry"),N(data_role_b="attacker")*N(player_type_b="Mechanised Infantry")),_xlfn.LAMBDA(_xlpm.row,SUM(_xlpm.row))))</f>
        <v>0</v>
      </c>
      <c r="P14" s="38" cm="1">
        <f t="array" ref="P14">IF(SUM(N(data_mission=A14)*_xlfn.BYROW(_xlfn.HSTACK(N(data_role_a="attacker")*N(NOT(ISERROR(SEARCH("Combined",player_type_a)))),N(data_role_b="attacker")*N(NOT(ISERROR(SEARCH("Combined",player_type_b))))),_xlfn.LAMBDA(_xlpm.row,SUM(_xlpm.row))))=0,"-",(SUM(N(data_mission=A14)*N(data_role_a="attacker")*N(NOT(ISERROR(SEARCH("Combined",player_type_a))))*N(data_winner="a"))+SUM(N(data_mission=A14)*N(data_role_b="attacker")*N(NOT(ISERROR(SEARCH("Combined",player_type_b))))*N(data_winner="b")))/SUM(N(data_mission=A14)*_xlfn.BYROW(_xlfn.HSTACK(N(data_role_a="attacker")*N(NOT(ISERROR(SEARCH("Combined",player_type_a)))),N(data_role_b="attacker")*N(NOT(ISERROR(SEARCH("Combined",player_type_b))))),_xlfn.LAMBDA(_xlpm.row,SUM(_xlpm.row)))))</f>
        <v>1</v>
      </c>
      <c r="Q14" s="56" cm="1">
        <f t="array" ref="Q14">SUM(N(data_mission=A14)*_xlfn.BYROW(_xlfn.HSTACK(N(data_role_a="attacker")*N(NOT(ISERROR(SEARCH("Combined",player_type_a)))),N(data_role_b="attacker")*N(NOT(ISERROR(SEARCH("Combined",player_type_b))))),_xlfn.LAMBDA(_xlpm.row,SUM(_xlpm.row))))</f>
        <v>1</v>
      </c>
      <c r="R14" s="38" cm="1">
        <f t="array" ref="R14">SUM(N(data_mission=A14)*(_xlfn.BYROW(_xlfn.HSTACK(N(data_winner="b")*N(data_role_a="attacker"),N(data_winner="a")*N(data_role_b="attacker")),_xlfn.LAMBDA(_xlpm.row,SUM(_xlpm.row)))))/SUM(N(data_mission=A14))</f>
        <v>0</v>
      </c>
      <c r="S14" s="60" cm="1">
        <f t="array" ref="S14">SUM(N(data_mission=A14)*_xlfn.HSTACK((N(data_role_a="attacker")*data_score_b),(N(data_role_b="attacker")*data_score_a)))/SUM(N(data_mission=A14))</f>
        <v>2</v>
      </c>
      <c r="T14" s="60" cm="1">
        <f t="array" ref="T14">SUM(N(data_mission=A14)*_xlfn.HSTACK((N(data_role_a="attacker")*data_units_b),(N(data_role_b="attacker")*data_units_a)))/SUM(N(data_mission=A14))</f>
        <v>4.5</v>
      </c>
      <c r="U14" s="58">
        <f t="shared" si="1"/>
        <v>0.33333333333333331</v>
      </c>
      <c r="V14" s="38" t="str" cm="1">
        <f t="array" ref="V14">IF(SUM(N(data_mission=A14)*_xlfn.BYROW(_xlfn.HSTACK(N(data_role_a="defender")*N(player_type_a="Infantry"),N(data_role_b="defender")*N(player_type_b="Infantry")),_xlfn.LAMBDA(_xlpm.row,SUM(_xlpm.row))))=0,"-",(SUM(N(data_mission=A14)*N(data_role_a="defender")*N(player_type_a="Infantry")*N(data_winner="a"))+SUM(N(data_mission=A14)*N(data_role_b="defender")*N(player_type_b="Infantry")*N(data_winner="b")))/SUM(N(data_mission=A14)*_xlfn.BYROW(_xlfn.HSTACK(N(data_role_a="defender")*N(player_type_a="Infantry"),N(data_role_b="defender")*N(player_type_b="Infantry")),_xlfn.LAMBDA(_xlpm.row,SUM(_xlpm.row)))))</f>
        <v>-</v>
      </c>
      <c r="W14" s="51" cm="1">
        <f t="array" ref="W14">SUM(N(data_mission=A14)*_xlfn.BYROW(_xlfn.HSTACK(N(data_role_a="defender")*N(player_type_a="Infantry"),N(data_role_b="defender")*N(player_type_b="Infantry")),_xlfn.LAMBDA(_xlpm.row,SUM(_xlpm.row))))</f>
        <v>0</v>
      </c>
      <c r="X14" s="38" cm="1">
        <f t="array" ref="X14">IF(SUM(N(data_mission=A14)*_xlfn.BYROW(_xlfn.HSTACK(N(data_role_a="defender")*N(player_type_a="Tank"),N(data_role_b="defender")*N(player_type_b="Tank")),_xlfn.LAMBDA(_xlpm.row,SUM(_xlpm.row))))=0,"-",(SUM(N(data_mission=A14)*N(data_role_a="defender")*N(player_type_a="Tank")*N(data_winner="a"))+SUM(N(data_mission=A14)*N(data_role_b="defender")*N(player_type_b="Tank")*N(data_winner="b")))/SUM(N(data_mission=A14)*_xlfn.BYROW(_xlfn.HSTACK(N(data_role_a="defender")*N(player_type_a="Tank"),N(data_role_b="defender")*N(player_type_b="Tank")),_xlfn.LAMBDA(_xlpm.row,SUM(_xlpm.row)))))</f>
        <v>0</v>
      </c>
      <c r="Y14" s="52" cm="1">
        <f t="array" ref="Y14">SUM(N(data_mission=A14)*_xlfn.BYROW(_xlfn.HSTACK(N(data_role_a="defender")*N(player_type_a="Tank"),N(data_role_b="defender")*N(player_type_b="Tank")),_xlfn.LAMBDA(_xlpm.row,SUM(_xlpm.row))))</f>
        <v>1</v>
      </c>
      <c r="Z14" s="38" t="str" cm="1">
        <f t="array" ref="Z14">IF(SUM(N(data_mission=A14)*_xlfn.BYROW(_xlfn.HSTACK(N(data_role_a="defender")*N(player_type_a="Mechanised Infantry"),N(data_role_b="defender")*N(player_type_b="Mechanised Infantry")),_xlfn.LAMBDA(_xlpm.row,SUM(_xlpm.row))))=0,"-",(SUM(N(data_mission=A14)*N(data_role_a="defender")*N(player_type_a="Mechanised Infantry")*N(data_winner="a"))+SUM(N(data_mission=A14)*N(data_role_b="defender")*N(player_type_b="Mechanised Infantry")*N(data_winner="b")))/SUM(N(data_mission=A14)*_xlfn.BYROW(_xlfn.HSTACK(N(data_role_a="defender")*N(player_type_a="Mechanised Infantry"),N(data_role_b="defender")*N(player_type_b="Mechanised Infantry")),_xlfn.LAMBDA(_xlpm.row,SUM(_xlpm.row)))))</f>
        <v>-</v>
      </c>
      <c r="AA14" s="52" cm="1">
        <f t="array" ref="AA14">SUM(N(data_mission=A14)*_xlfn.BYROW(_xlfn.HSTACK(N(data_role_a="defender")*N(player_type_a="Mechanised Infantry"),N(data_role_b="defender")*N(player_type_b="Mechanised Infantry")),_xlfn.LAMBDA(_xlpm.row,SUM(_xlpm.row))))</f>
        <v>0</v>
      </c>
      <c r="AB14" s="38" cm="1">
        <f t="array" ref="AB14">IF(SUM(N(data_mission=A14)*_xlfn.BYROW(_xlfn.HSTACK(N(data_role_a="defender")*N(NOT(ISERROR(SEARCH("Combined",player_type_a)))),N(data_role_b="defender")*N(NOT(ISERROR(SEARCH("Combined",player_type_b))))),_xlfn.LAMBDA(_xlpm.row,SUM(_xlpm.row))))=0,"-",(SUM(N(data_mission=A14)*N(data_role_a="defender")*N(NOT(ISERROR(SEARCH("Combined",player_type_a))))*N(data_winner="a"))+SUM(N(data_mission=A14)*N(data_role_b="defender")*N(NOT(ISERROR(SEARCH("Combined",player_type_b))))*N(data_winner="b")))/SUM(N(data_mission=A14)*_xlfn.BYROW(_xlfn.HSTACK(N(data_role_a="defender")*N(NOT(ISERROR(SEARCH("Combined",player_type_a)))),N(data_role_b="defender")*N(NOT(ISERROR(SEARCH("Combined",player_type_b))))),_xlfn.LAMBDA(_xlpm.row,SUM(_xlpm.row)))))</f>
        <v>0</v>
      </c>
      <c r="AC14" s="52" cm="1">
        <f t="array" ref="AC14">SUM(N(data_mission=A14)*_xlfn.BYROW(_xlfn.HSTACK(N(data_role_a="defender")*N(NOT(ISERROR(SEARCH("Combined",player_type_a)))),N(data_role_b="defender")*N(NOT(ISERROR(SEARCH("Combined",player_type_b))))),_xlfn.LAMBDA(_xlpm.row,SUM(_xlpm.row))))</f>
        <v>1</v>
      </c>
    </row>
    <row r="15" spans="1:29" x14ac:dyDescent="0.25">
      <c r="A15" t="s">
        <v>91</v>
      </c>
      <c r="B15" s="1" t="s">
        <v>216</v>
      </c>
      <c r="C15" s="50" cm="1">
        <f t="array" ref="C15">SUM(N(data_mod!C9:C70=A15))</f>
        <v>1</v>
      </c>
      <c r="D15" s="39" cm="1">
        <f t="array" ref="D15">SUM(N(data_mission=A15)*N(data_winner="none"))/SUM(N(data_mission=A15))</f>
        <v>0</v>
      </c>
      <c r="E15" s="60" cm="1">
        <f t="array" ref="E15">SUM(N(data_mission=A15)*data_turns)/SUM(N(data_mission=A15))</f>
        <v>4</v>
      </c>
      <c r="F15" s="38" cm="1">
        <f t="array" ref="F15">SUM(N(data_mission=A15)*(_xlfn.BYROW(_xlfn.HSTACK(N(data_winner="a")*N(data_role_a="attacker"),N(data_winner="b")*N(data_role_b="attacker")),_xlfn.LAMBDA(_xlpm.row,SUM(_xlpm.row)))))/SUM(N(data_mission=A15))</f>
        <v>1</v>
      </c>
      <c r="G15" s="60" cm="1">
        <f t="array" ref="G15">SUM(N(data_mission=A15)*_xlfn.HSTACK((N(data_role_a="attacker")*data_score_a),(N(data_role_b="attacker")*data_score_b)))/SUM(N(data_mission=A15))</f>
        <v>7</v>
      </c>
      <c r="H15" s="60" cm="1">
        <f t="array" ref="H15">SUM(N(data_mission=A15)*_xlfn.HSTACK((N(data_role_a="attacker")*data_units_a),(N(data_role_b="attacker")*data_units_b)))/SUM(N(data_mission=A15))</f>
        <v>2</v>
      </c>
      <c r="I15" s="58">
        <f t="shared" si="0"/>
        <v>0.5</v>
      </c>
      <c r="J15" s="38" t="str" cm="1">
        <f t="array" ref="J15">IF(SUM(N(data_mission=A15)*_xlfn.BYROW(_xlfn.HSTACK(N(data_role_a="attacker")*N(player_type_a="Infantry"),N(data_role_b="attacker")*N(player_type_b="Infantry")),_xlfn.LAMBDA(_xlpm.row,SUM(_xlpm.row))))=0,"-",(SUM(N(data_mission=A15)*N(data_role_a="attacker")*N(player_type_a="Infantry")*N(data_winner="a"))+SUM(N(data_mission=A15)*N(data_role_b="attacker")*N(player_type_b="Infantry")*N(data_winner="b")))/SUM(N(data_mission=A15)*_xlfn.BYROW(_xlfn.HSTACK(N(data_role_a="attacker")*N(player_type_a="Infantry"),N(data_role_b="attacker")*N(player_type_b="Infantry")),_xlfn.LAMBDA(_xlpm.row,SUM(_xlpm.row)))))</f>
        <v>-</v>
      </c>
      <c r="K15" s="56" cm="1">
        <f t="array" ref="K15">SUM(N(data_mission=A15)*_xlfn.BYROW(_xlfn.HSTACK(N(data_role_a="attacker")*N(player_type_a="Infantry"),N(data_role_b="attacker")*N(player_type_b="Infantry")),_xlfn.LAMBDA(_xlpm.row,SUM(_xlpm.row))))</f>
        <v>0</v>
      </c>
      <c r="L15" s="38" cm="1">
        <f t="array" ref="L15">IF(SUM(N(data_mission=A15)*_xlfn.BYROW(_xlfn.HSTACK(N(data_role_a="attacker")*N(player_type_a="Tank"),N(data_role_b="attacker")*N(player_type_b="Tank")),_xlfn.LAMBDA(_xlpm.row,SUM(_xlpm.row))))=0,"-",(SUM(N(data_mission=A15)*N(data_role_a="attacker")*N(player_type_a="Tank")*N(data_winner="a"))+SUM(N(data_mission=A15)*N(data_role_b="attacker")*N(player_type_b="Tank")*N(data_winner="b")))/SUM(N(data_mission=A15)*_xlfn.BYROW(_xlfn.HSTACK(N(data_role_a="attacker")*N(player_type_a="Tank"),N(data_role_b="attacker")*N(player_type_b="Tank")),_xlfn.LAMBDA(_xlpm.row,SUM(_xlpm.row)))))</f>
        <v>1</v>
      </c>
      <c r="M15" s="56" cm="1">
        <f t="array" ref="M15">SUM(N(data_mission=A15)*_xlfn.BYROW(_xlfn.HSTACK(N(data_role_a="attacker")*N(player_type_a="Tank"),N(data_role_b="attacker")*N(player_type_b="Tank")),_xlfn.LAMBDA(_xlpm.row,SUM(_xlpm.row))))</f>
        <v>1</v>
      </c>
      <c r="N15" s="38" t="str" cm="1">
        <f t="array" ref="N15">IF(SUM(N(data_mission=A15)*_xlfn.BYROW(_xlfn.HSTACK(N(data_role_a="attacker")*N(player_type_a="Mechanised Infantry"),N(data_role_b="attacker")*N(player_type_b="Mechanised Infantry")),_xlfn.LAMBDA(_xlpm.row,SUM(_xlpm.row))))=0,"-",(SUM(N(data_mission=A15)*N(data_role_a="attacker")*N(player_type_a="Mechanised Infantry")*N(data_winner="a"))+SUM(N(data_mission=A15)*N(data_role_b="attacker")*N(player_type_b="Mechanised Infantry")*N(data_winner="b")))/SUM(N(data_mission=A15)*_xlfn.BYROW(_xlfn.HSTACK(N(data_role_a="attacker")*N(player_type_a="Mechanised Infantry"),N(data_role_b="attacker")*N(player_type_b="Mechanised Infantry")),_xlfn.LAMBDA(_xlpm.row,SUM(_xlpm.row)))))</f>
        <v>-</v>
      </c>
      <c r="O15" s="56" cm="1">
        <f t="array" ref="O15">SUM(N(data_mission=A15)*_xlfn.BYROW(_xlfn.HSTACK(N(data_role_a="attacker")*N(player_type_a="Mechanised Infantry"),N(data_role_b="attacker")*N(player_type_b="Mechanised Infantry")),_xlfn.LAMBDA(_xlpm.row,SUM(_xlpm.row))))</f>
        <v>0</v>
      </c>
      <c r="P15" s="38" t="str" cm="1">
        <f t="array" ref="P15">IF(SUM(N(data_mission=A15)*_xlfn.BYROW(_xlfn.HSTACK(N(data_role_a="attacker")*N(NOT(ISERROR(SEARCH("Combined",player_type_a)))),N(data_role_b="attacker")*N(NOT(ISERROR(SEARCH("Combined",player_type_b))))),_xlfn.LAMBDA(_xlpm.row,SUM(_xlpm.row))))=0,"-",(SUM(N(data_mission=A15)*N(data_role_a="attacker")*N(NOT(ISERROR(SEARCH("Combined",player_type_a))))*N(data_winner="a"))+SUM(N(data_mission=A15)*N(data_role_b="attacker")*N(NOT(ISERROR(SEARCH("Combined",player_type_b))))*N(data_winner="b")))/SUM(N(data_mission=A15)*_xlfn.BYROW(_xlfn.HSTACK(N(data_role_a="attacker")*N(NOT(ISERROR(SEARCH("Combined",player_type_a)))),N(data_role_b="attacker")*N(NOT(ISERROR(SEARCH("Combined",player_type_b))))),_xlfn.LAMBDA(_xlpm.row,SUM(_xlpm.row)))))</f>
        <v>-</v>
      </c>
      <c r="Q15" s="56" cm="1">
        <f t="array" ref="Q15">SUM(N(data_mission=A15)*_xlfn.BYROW(_xlfn.HSTACK(N(data_role_a="attacker")*N(NOT(ISERROR(SEARCH("Combined",player_type_a)))),N(data_role_b="attacker")*N(NOT(ISERROR(SEARCH("Combined",player_type_b))))),_xlfn.LAMBDA(_xlpm.row,SUM(_xlpm.row))))</f>
        <v>0</v>
      </c>
      <c r="R15" s="38" cm="1">
        <f t="array" ref="R15">SUM(N(data_mission=A15)*(_xlfn.BYROW(_xlfn.HSTACK(N(data_winner="b")*N(data_role_a="attacker"),N(data_winner="a")*N(data_role_b="attacker")),_xlfn.LAMBDA(_xlpm.row,SUM(_xlpm.row)))))/SUM(N(data_mission=A15))</f>
        <v>0</v>
      </c>
      <c r="S15" s="60" cm="1">
        <f t="array" ref="S15">SUM(N(data_mission=A15)*_xlfn.HSTACK((N(data_role_a="attacker")*data_score_b),(N(data_role_b="attacker")*data_score_a)))/SUM(N(data_mission=A15))</f>
        <v>2</v>
      </c>
      <c r="T15" s="60" cm="1">
        <f t="array" ref="T15">SUM(N(data_mission=A15)*_xlfn.HSTACK((N(data_role_a="attacker")*data_units_b),(N(data_role_b="attacker")*data_units_a)))/SUM(N(data_mission=A15))</f>
        <v>1</v>
      </c>
      <c r="U15" s="58">
        <f t="shared" si="1"/>
        <v>2</v>
      </c>
      <c r="V15" s="38" t="str" cm="1">
        <f t="array" ref="V15">IF(SUM(N(data_mission=A15)*_xlfn.BYROW(_xlfn.HSTACK(N(data_role_a="defender")*N(player_type_a="Infantry"),N(data_role_b="defender")*N(player_type_b="Infantry")),_xlfn.LAMBDA(_xlpm.row,SUM(_xlpm.row))))=0,"-",(SUM(N(data_mission=A15)*N(data_role_a="defender")*N(player_type_a="Infantry")*N(data_winner="a"))+SUM(N(data_mission=A15)*N(data_role_b="defender")*N(player_type_b="Infantry")*N(data_winner="b")))/SUM(N(data_mission=A15)*_xlfn.BYROW(_xlfn.HSTACK(N(data_role_a="defender")*N(player_type_a="Infantry"),N(data_role_b="defender")*N(player_type_b="Infantry")),_xlfn.LAMBDA(_xlpm.row,SUM(_xlpm.row)))))</f>
        <v>-</v>
      </c>
      <c r="W15" s="51" cm="1">
        <f t="array" ref="W15">SUM(N(data_mission=A15)*_xlfn.BYROW(_xlfn.HSTACK(N(data_role_a="defender")*N(player_type_a="Infantry"),N(data_role_b="defender")*N(player_type_b="Infantry")),_xlfn.LAMBDA(_xlpm.row,SUM(_xlpm.row))))</f>
        <v>0</v>
      </c>
      <c r="X15" s="38" t="str" cm="1">
        <f t="array" ref="X15">IF(SUM(N(data_mission=A15)*_xlfn.BYROW(_xlfn.HSTACK(N(data_role_a="defender")*N(player_type_a="Tank"),N(data_role_b="defender")*N(player_type_b="Tank")),_xlfn.LAMBDA(_xlpm.row,SUM(_xlpm.row))))=0,"-",(SUM(N(data_mission=A15)*N(data_role_a="defender")*N(player_type_a="Tank")*N(data_winner="a"))+SUM(N(data_mission=A15)*N(data_role_b="defender")*N(player_type_b="Tank")*N(data_winner="b")))/SUM(N(data_mission=A15)*_xlfn.BYROW(_xlfn.HSTACK(N(data_role_a="defender")*N(player_type_a="Tank"),N(data_role_b="defender")*N(player_type_b="Tank")),_xlfn.LAMBDA(_xlpm.row,SUM(_xlpm.row)))))</f>
        <v>-</v>
      </c>
      <c r="Y15" s="52" cm="1">
        <f t="array" ref="Y15">SUM(N(data_mission=A15)*_xlfn.BYROW(_xlfn.HSTACK(N(data_role_a="defender")*N(player_type_a="Tank"),N(data_role_b="defender")*N(player_type_b="Tank")),_xlfn.LAMBDA(_xlpm.row,SUM(_xlpm.row))))</f>
        <v>0</v>
      </c>
      <c r="Z15" s="38" t="str" cm="1">
        <f t="array" ref="Z15">IF(SUM(N(data_mission=A15)*_xlfn.BYROW(_xlfn.HSTACK(N(data_role_a="defender")*N(player_type_a="Mechanised Infantry"),N(data_role_b="defender")*N(player_type_b="Mechanised Infantry")),_xlfn.LAMBDA(_xlpm.row,SUM(_xlpm.row))))=0,"-",(SUM(N(data_mission=A15)*N(data_role_a="defender")*N(player_type_a="Mechanised Infantry")*N(data_winner="a"))+SUM(N(data_mission=A15)*N(data_role_b="defender")*N(player_type_b="Mechanised Infantry")*N(data_winner="b")))/SUM(N(data_mission=A15)*_xlfn.BYROW(_xlfn.HSTACK(N(data_role_a="defender")*N(player_type_a="Mechanised Infantry"),N(data_role_b="defender")*N(player_type_b="Mechanised Infantry")),_xlfn.LAMBDA(_xlpm.row,SUM(_xlpm.row)))))</f>
        <v>-</v>
      </c>
      <c r="AA15" s="52" cm="1">
        <f t="array" ref="AA15">SUM(N(data_mission=A15)*_xlfn.BYROW(_xlfn.HSTACK(N(data_role_a="defender")*N(player_type_a="Mechanised Infantry"),N(data_role_b="defender")*N(player_type_b="Mechanised Infantry")),_xlfn.LAMBDA(_xlpm.row,SUM(_xlpm.row))))</f>
        <v>0</v>
      </c>
      <c r="AB15" s="38" cm="1">
        <f t="array" ref="AB15">IF(SUM(N(data_mission=A15)*_xlfn.BYROW(_xlfn.HSTACK(N(data_role_a="defender")*N(NOT(ISERROR(SEARCH("Combined",player_type_a)))),N(data_role_b="defender")*N(NOT(ISERROR(SEARCH("Combined",player_type_b))))),_xlfn.LAMBDA(_xlpm.row,SUM(_xlpm.row))))=0,"-",(SUM(N(data_mission=A15)*N(data_role_a="defender")*N(NOT(ISERROR(SEARCH("Combined",player_type_a))))*N(data_winner="a"))+SUM(N(data_mission=A15)*N(data_role_b="defender")*N(NOT(ISERROR(SEARCH("Combined",player_type_b))))*N(data_winner="b")))/SUM(N(data_mission=A15)*_xlfn.BYROW(_xlfn.HSTACK(N(data_role_a="defender")*N(NOT(ISERROR(SEARCH("Combined",player_type_a)))),N(data_role_b="defender")*N(NOT(ISERROR(SEARCH("Combined",player_type_b))))),_xlfn.LAMBDA(_xlpm.row,SUM(_xlpm.row)))))</f>
        <v>0</v>
      </c>
      <c r="AC15" s="52" cm="1">
        <f t="array" ref="AC15">SUM(N(data_mission=A15)*_xlfn.BYROW(_xlfn.HSTACK(N(data_role_a="defender")*N(NOT(ISERROR(SEARCH("Combined",player_type_a)))),N(data_role_b="defender")*N(NOT(ISERROR(SEARCH("Combined",player_type_b))))),_xlfn.LAMBDA(_xlpm.row,SUM(_xlpm.row))))</f>
        <v>1</v>
      </c>
    </row>
    <row r="16" spans="1:29" x14ac:dyDescent="0.25">
      <c r="A16" t="s">
        <v>40</v>
      </c>
      <c r="B16" s="1" t="s">
        <v>214</v>
      </c>
      <c r="C16" s="50" cm="1">
        <f t="array" ref="C16">SUM(N(data_mod!C4:C65=A16))</f>
        <v>10</v>
      </c>
      <c r="D16" s="39" cm="1">
        <f t="array" ref="D16">SUM(N(data_mission=A16)*N(data_winner="none"))/SUM(N(data_mission=A16))</f>
        <v>0</v>
      </c>
      <c r="E16" s="60" cm="1">
        <f t="array" ref="E16">SUM(N(data_mission=A16)*data_turns)/SUM(N(data_mission=A16))</f>
        <v>5.7</v>
      </c>
      <c r="F16" s="38" cm="1">
        <f t="array" ref="F16">SUM(N(data_mission=A16)*(_xlfn.BYROW(_xlfn.HSTACK(N(data_winner="a")*N(data_role_a="attacker"),N(data_winner="b")*N(data_role_b="attacker")),_xlfn.LAMBDA(_xlpm.row,SUM(_xlpm.row)))))/SUM(N(data_mission=A16))</f>
        <v>0.2</v>
      </c>
      <c r="G16" s="60" cm="1">
        <f t="array" ref="G16">SUM(N(data_mission=A16)*_xlfn.HSTACK((N(data_role_a="attacker")*data_score_a),(N(data_role_b="attacker")*data_score_b)))/SUM(N(data_mission=A16))</f>
        <v>2.7</v>
      </c>
      <c r="H16" s="60" cm="1">
        <f t="array" ref="H16">SUM(N(data_mission=A16)*_xlfn.HSTACK((N(data_role_a="attacker")*data_units_a),(N(data_role_b="attacker")*data_units_b)))/SUM(N(data_mission=A16))</f>
        <v>3.4</v>
      </c>
      <c r="I16" s="58">
        <f t="shared" si="0"/>
        <v>0.61764705882352944</v>
      </c>
      <c r="J16" s="38" cm="1">
        <f t="array" ref="J16">IF(SUM(N(data_mission=A16)*_xlfn.BYROW(_xlfn.HSTACK(N(data_role_a="attacker")*N(player_type_a="Infantry"),N(data_role_b="attacker")*N(player_type_b="Infantry")),_xlfn.LAMBDA(_xlpm.row,SUM(_xlpm.row))))=0,"-",(SUM(N(data_mission=A16)*N(data_role_a="attacker")*N(player_type_a="Infantry")*N(data_winner="a"))+SUM(N(data_mission=A16)*N(data_role_b="attacker")*N(player_type_b="Infantry")*N(data_winner="b")))/SUM(N(data_mission=A16)*_xlfn.BYROW(_xlfn.HSTACK(N(data_role_a="attacker")*N(player_type_a="Infantry"),N(data_role_b="attacker")*N(player_type_b="Infantry")),_xlfn.LAMBDA(_xlpm.row,SUM(_xlpm.row)))))</f>
        <v>1</v>
      </c>
      <c r="K16" s="56" cm="1">
        <f t="array" ref="K16">SUM(N(data_mission=A16)*_xlfn.BYROW(_xlfn.HSTACK(N(data_role_a="attacker")*N(player_type_a="Infantry"),N(data_role_b="attacker")*N(player_type_b="Infantry")),_xlfn.LAMBDA(_xlpm.row,SUM(_xlpm.row))))</f>
        <v>1</v>
      </c>
      <c r="L16" s="38" cm="1">
        <f t="array" ref="L16">IF(SUM(N(data_mission=A16)*_xlfn.BYROW(_xlfn.HSTACK(N(data_role_a="attacker")*N(player_type_a="Tank"),N(data_role_b="attacker")*N(player_type_b="Tank")),_xlfn.LAMBDA(_xlpm.row,SUM(_xlpm.row))))=0,"-",(SUM(N(data_mission=A16)*N(data_role_a="attacker")*N(player_type_a="Tank")*N(data_winner="a"))+SUM(N(data_mission=A16)*N(data_role_b="attacker")*N(player_type_b="Tank")*N(data_winner="b")))/SUM(N(data_mission=A16)*_xlfn.BYROW(_xlfn.HSTACK(N(data_role_a="attacker")*N(player_type_a="Tank"),N(data_role_b="attacker")*N(player_type_b="Tank")),_xlfn.LAMBDA(_xlpm.row,SUM(_xlpm.row)))))</f>
        <v>0</v>
      </c>
      <c r="M16" s="56" cm="1">
        <f t="array" ref="M16">SUM(N(data_mission=A16)*_xlfn.BYROW(_xlfn.HSTACK(N(data_role_a="attacker")*N(player_type_a="Tank"),N(data_role_b="attacker")*N(player_type_b="Tank")),_xlfn.LAMBDA(_xlpm.row,SUM(_xlpm.row))))</f>
        <v>5</v>
      </c>
      <c r="N16" s="38" cm="1">
        <f t="array" ref="N16">IF(SUM(N(data_mission=A16)*_xlfn.BYROW(_xlfn.HSTACK(N(data_role_a="attacker")*N(player_type_a="Mechanised Infantry"),N(data_role_b="attacker")*N(player_type_b="Mechanised Infantry")),_xlfn.LAMBDA(_xlpm.row,SUM(_xlpm.row))))=0,"-",(SUM(N(data_mission=A16)*N(data_role_a="attacker")*N(player_type_a="Mechanised Infantry")*N(data_winner="a"))+SUM(N(data_mission=A16)*N(data_role_b="attacker")*N(player_type_b="Mechanised Infantry")*N(data_winner="b")))/SUM(N(data_mission=A16)*_xlfn.BYROW(_xlfn.HSTACK(N(data_role_a="attacker")*N(player_type_a="Mechanised Infantry"),N(data_role_b="attacker")*N(player_type_b="Mechanised Infantry")),_xlfn.LAMBDA(_xlpm.row,SUM(_xlpm.row)))))</f>
        <v>0.5</v>
      </c>
      <c r="O16" s="56" cm="1">
        <f t="array" ref="O16">SUM(N(data_mission=A16)*_xlfn.BYROW(_xlfn.HSTACK(N(data_role_a="attacker")*N(player_type_a="Mechanised Infantry"),N(data_role_b="attacker")*N(player_type_b="Mechanised Infantry")),_xlfn.LAMBDA(_xlpm.row,SUM(_xlpm.row))))</f>
        <v>2</v>
      </c>
      <c r="P16" s="38" cm="1">
        <f t="array" ref="P16">IF(SUM(N(data_mission=A16)*_xlfn.BYROW(_xlfn.HSTACK(N(data_role_a="attacker")*N(NOT(ISERROR(SEARCH("Combined",player_type_a)))),N(data_role_b="attacker")*N(NOT(ISERROR(SEARCH("Combined",player_type_b))))),_xlfn.LAMBDA(_xlpm.row,SUM(_xlpm.row))))=0,"-",(SUM(N(data_mission=A16)*N(data_role_a="attacker")*N(NOT(ISERROR(SEARCH("Combined",player_type_a))))*N(data_winner="a"))+SUM(N(data_mission=A16)*N(data_role_b="attacker")*N(NOT(ISERROR(SEARCH("Combined",player_type_b))))*N(data_winner="b")))/SUM(N(data_mission=A16)*_xlfn.BYROW(_xlfn.HSTACK(N(data_role_a="attacker")*N(NOT(ISERROR(SEARCH("Combined",player_type_a)))),N(data_role_b="attacker")*N(NOT(ISERROR(SEARCH("Combined",player_type_b))))),_xlfn.LAMBDA(_xlpm.row,SUM(_xlpm.row)))))</f>
        <v>0</v>
      </c>
      <c r="Q16" s="56" cm="1">
        <f t="array" ref="Q16">SUM(N(data_mission=A16)*_xlfn.BYROW(_xlfn.HSTACK(N(data_role_a="attacker")*N(NOT(ISERROR(SEARCH("Combined",player_type_a)))),N(data_role_b="attacker")*N(NOT(ISERROR(SEARCH("Combined",player_type_b))))),_xlfn.LAMBDA(_xlpm.row,SUM(_xlpm.row))))</f>
        <v>2</v>
      </c>
      <c r="R16" s="38" cm="1">
        <f t="array" ref="R16">SUM(N(data_mission=A16)*(_xlfn.BYROW(_xlfn.HSTACK(N(data_winner="b")*N(data_role_a="attacker"),N(data_winner="a")*N(data_role_b="attacker")),_xlfn.LAMBDA(_xlpm.row,SUM(_xlpm.row)))))/SUM(N(data_mission=A16))</f>
        <v>0.8</v>
      </c>
      <c r="S16" s="60" cm="1">
        <f t="array" ref="S16">SUM(N(data_mission=A16)*_xlfn.HSTACK((N(data_role_a="attacker")*data_score_b),(N(data_role_b="attacker")*data_score_a)))/SUM(N(data_mission=A16))</f>
        <v>6.3</v>
      </c>
      <c r="T16" s="60" cm="1">
        <f t="array" ref="T16">SUM(N(data_mission=A16)*_xlfn.HSTACK((N(data_role_a="attacker")*data_units_b),(N(data_role_b="attacker")*data_units_a)))/SUM(N(data_mission=A16))</f>
        <v>2.1</v>
      </c>
      <c r="U16" s="58">
        <f t="shared" si="1"/>
        <v>1.6190476190476188</v>
      </c>
      <c r="V16" s="38" cm="1">
        <f t="array" ref="V16">IF(SUM(N(data_mission=A16)*_xlfn.BYROW(_xlfn.HSTACK(N(data_role_a="defender")*N(player_type_a="Infantry"),N(data_role_b="defender")*N(player_type_b="Infantry")),_xlfn.LAMBDA(_xlpm.row,SUM(_xlpm.row))))=0,"-",(SUM(N(data_mission=A16)*N(data_role_a="defender")*N(player_type_a="Infantry")*N(data_winner="a"))+SUM(N(data_mission=A16)*N(data_role_b="defender")*N(player_type_b="Infantry")*N(data_winner="b")))/SUM(N(data_mission=A16)*_xlfn.BYROW(_xlfn.HSTACK(N(data_role_a="defender")*N(player_type_a="Infantry"),N(data_role_b="defender")*N(player_type_b="Infantry")),_xlfn.LAMBDA(_xlpm.row,SUM(_xlpm.row)))))</f>
        <v>0.83333333333333337</v>
      </c>
      <c r="W16" s="51" cm="1">
        <f t="array" ref="W16">SUM(N(data_mission=A16)*_xlfn.BYROW(_xlfn.HSTACK(N(data_role_a="defender")*N(player_type_a="Infantry"),N(data_role_b="defender")*N(player_type_b="Infantry")),_xlfn.LAMBDA(_xlpm.row,SUM(_xlpm.row))))</f>
        <v>6</v>
      </c>
      <c r="X16" s="38" t="str" cm="1">
        <f t="array" ref="X16">IF(SUM(N(data_mission=A16)*_xlfn.BYROW(_xlfn.HSTACK(N(data_role_a="defender")*N(player_type_a="Tank"),N(data_role_b="defender")*N(player_type_b="Tank")),_xlfn.LAMBDA(_xlpm.row,SUM(_xlpm.row))))=0,"-",(SUM(N(data_mission=A16)*N(data_role_a="defender")*N(player_type_a="Tank")*N(data_winner="a"))+SUM(N(data_mission=A16)*N(data_role_b="defender")*N(player_type_b="Tank")*N(data_winner="b")))/SUM(N(data_mission=A16)*_xlfn.BYROW(_xlfn.HSTACK(N(data_role_a="defender")*N(player_type_a="Tank"),N(data_role_b="defender")*N(player_type_b="Tank")),_xlfn.LAMBDA(_xlpm.row,SUM(_xlpm.row)))))</f>
        <v>-</v>
      </c>
      <c r="Y16" s="52" cm="1">
        <f t="array" ref="Y16">SUM(N(data_mission=A16)*_xlfn.BYROW(_xlfn.HSTACK(N(data_role_a="defender")*N(player_type_a="Tank"),N(data_role_b="defender")*N(player_type_b="Tank")),_xlfn.LAMBDA(_xlpm.row,SUM(_xlpm.row))))</f>
        <v>0</v>
      </c>
      <c r="Z16" s="38" cm="1">
        <f t="array" ref="Z16">IF(SUM(N(data_mission=A16)*_xlfn.BYROW(_xlfn.HSTACK(N(data_role_a="defender")*N(player_type_a="Mechanised Infantry"),N(data_role_b="defender")*N(player_type_b="Mechanised Infantry")),_xlfn.LAMBDA(_xlpm.row,SUM(_xlpm.row))))=0,"-",(SUM(N(data_mission=A16)*N(data_role_a="defender")*N(player_type_a="Mechanised Infantry")*N(data_winner="a"))+SUM(N(data_mission=A16)*N(data_role_b="defender")*N(player_type_b="Mechanised Infantry")*N(data_winner="b")))/SUM(N(data_mission=A16)*_xlfn.BYROW(_xlfn.HSTACK(N(data_role_a="defender")*N(player_type_a="Mechanised Infantry"),N(data_role_b="defender")*N(player_type_b="Mechanised Infantry")),_xlfn.LAMBDA(_xlpm.row,SUM(_xlpm.row)))))</f>
        <v>0</v>
      </c>
      <c r="AA16" s="52" cm="1">
        <f t="array" ref="AA16">SUM(N(data_mission=A16)*_xlfn.BYROW(_xlfn.HSTACK(N(data_role_a="defender")*N(player_type_a="Mechanised Infantry"),N(data_role_b="defender")*N(player_type_b="Mechanised Infantry")),_xlfn.LAMBDA(_xlpm.row,SUM(_xlpm.row))))</f>
        <v>1</v>
      </c>
      <c r="AB16" s="38" cm="1">
        <f t="array" ref="AB16">IF(SUM(N(data_mission=A16)*_xlfn.BYROW(_xlfn.HSTACK(N(data_role_a="defender")*N(NOT(ISERROR(SEARCH("Combined",player_type_a)))),N(data_role_b="defender")*N(NOT(ISERROR(SEARCH("Combined",player_type_b))))),_xlfn.LAMBDA(_xlpm.row,SUM(_xlpm.row))))=0,"-",(SUM(N(data_mission=A16)*N(data_role_a="defender")*N(NOT(ISERROR(SEARCH("Combined",player_type_a))))*N(data_winner="a"))+SUM(N(data_mission=A16)*N(data_role_b="defender")*N(NOT(ISERROR(SEARCH("Combined",player_type_b))))*N(data_winner="b")))/SUM(N(data_mission=A16)*_xlfn.BYROW(_xlfn.HSTACK(N(data_role_a="defender")*N(NOT(ISERROR(SEARCH("Combined",player_type_a)))),N(data_role_b="defender")*N(NOT(ISERROR(SEARCH("Combined",player_type_b))))),_xlfn.LAMBDA(_xlpm.row,SUM(_xlpm.row)))))</f>
        <v>1</v>
      </c>
      <c r="AC16" s="52" cm="1">
        <f t="array" ref="AC16">SUM(N(data_mission=A16)*_xlfn.BYROW(_xlfn.HSTACK(N(data_role_a="defender")*N(NOT(ISERROR(SEARCH("Combined",player_type_a)))),N(data_role_b="defender")*N(NOT(ISERROR(SEARCH("Combined",player_type_b))))),_xlfn.LAMBDA(_xlpm.row,SUM(_xlpm.row))))</f>
        <v>3</v>
      </c>
    </row>
    <row r="17" spans="1:29" x14ac:dyDescent="0.25">
      <c r="A17" t="s">
        <v>100</v>
      </c>
      <c r="B17" s="1" t="s">
        <v>213</v>
      </c>
      <c r="C17" s="50" cm="1">
        <f t="array" ref="C17">SUM(N(data_mod!C18:C79=A17))</f>
        <v>3</v>
      </c>
      <c r="D17" s="39" cm="1">
        <f t="array" ref="D17">SUM(N(data_mission=A17)*N(data_winner="none"))/SUM(N(data_mission=A17))</f>
        <v>0.66666666666666663</v>
      </c>
      <c r="E17" s="60" cm="1">
        <f t="array" ref="E17">SUM(N(data_mission=A17)*data_turns)/SUM(N(data_mission=A17))</f>
        <v>4.666666666666667</v>
      </c>
      <c r="F17" s="38" cm="1">
        <f t="array" ref="F17">SUM(N(data_mission=A17)*(_xlfn.BYROW(_xlfn.HSTACK(N(data_winner="a")*N(data_role_a="attacker"),N(data_winner="b")*N(data_role_b="attacker")),_xlfn.LAMBDA(_xlpm.row,SUM(_xlpm.row)))))/SUM(N(data_mission=A17))</f>
        <v>0.33333333333333331</v>
      </c>
      <c r="G17" s="60" cm="1">
        <f t="array" ref="G17">SUM(N(data_mission=A17)*_xlfn.HSTACK((N(data_role_a="attacker")*data_score_a),(N(data_role_b="attacker")*data_score_b)))/SUM(N(data_mission=A17))</f>
        <v>3.3333333333333335</v>
      </c>
      <c r="H17" s="60" cm="1">
        <f t="array" ref="H17">SUM(N(data_mission=A17)*_xlfn.HSTACK((N(data_role_a="attacker")*data_units_a),(N(data_role_b="attacker")*data_units_b)))/SUM(N(data_mission=A17))</f>
        <v>1</v>
      </c>
      <c r="I17" s="58">
        <f t="shared" si="0"/>
        <v>1.3333333333333333</v>
      </c>
      <c r="J17" s="38" t="str" cm="1">
        <f t="array" ref="J17">IF(SUM(N(data_mission=A17)*_xlfn.BYROW(_xlfn.HSTACK(N(data_role_a="attacker")*N(player_type_a="Infantry"),N(data_role_b="attacker")*N(player_type_b="Infantry")),_xlfn.LAMBDA(_xlpm.row,SUM(_xlpm.row))))=0,"-",(SUM(N(data_mission=A17)*N(data_role_a="attacker")*N(player_type_a="Infantry")*N(data_winner="a"))+SUM(N(data_mission=A17)*N(data_role_b="attacker")*N(player_type_b="Infantry")*N(data_winner="b")))/SUM(N(data_mission=A17)*_xlfn.BYROW(_xlfn.HSTACK(N(data_role_a="attacker")*N(player_type_a="Infantry"),N(data_role_b="attacker")*N(player_type_b="Infantry")),_xlfn.LAMBDA(_xlpm.row,SUM(_xlpm.row)))))</f>
        <v>-</v>
      </c>
      <c r="K17" s="56" cm="1">
        <f t="array" ref="K17">SUM(N(data_mission=A17)*_xlfn.BYROW(_xlfn.HSTACK(N(data_role_a="attacker")*N(player_type_a="Infantry"),N(data_role_b="attacker")*N(player_type_b="Infantry")),_xlfn.LAMBDA(_xlpm.row,SUM(_xlpm.row))))</f>
        <v>0</v>
      </c>
      <c r="L17" s="38" cm="1">
        <f t="array" ref="L17">IF(SUM(N(data_mission=A17)*_xlfn.BYROW(_xlfn.HSTACK(N(data_role_a="attacker")*N(player_type_a="Tank"),N(data_role_b="attacker")*N(player_type_b="Tank")),_xlfn.LAMBDA(_xlpm.row,SUM(_xlpm.row))))=0,"-",(SUM(N(data_mission=A17)*N(data_role_a="attacker")*N(player_type_a="Tank")*N(data_winner="a"))+SUM(N(data_mission=A17)*N(data_role_b="attacker")*N(player_type_b="Tank")*N(data_winner="b")))/SUM(N(data_mission=A17)*_xlfn.BYROW(_xlfn.HSTACK(N(data_role_a="attacker")*N(player_type_a="Tank"),N(data_role_b="attacker")*N(player_type_b="Tank")),_xlfn.LAMBDA(_xlpm.row,SUM(_xlpm.row)))))</f>
        <v>0</v>
      </c>
      <c r="M17" s="56" cm="1">
        <f t="array" ref="M17">SUM(N(data_mission=A17)*_xlfn.BYROW(_xlfn.HSTACK(N(data_role_a="attacker")*N(player_type_a="Tank"),N(data_role_b="attacker")*N(player_type_b="Tank")),_xlfn.LAMBDA(_xlpm.row,SUM(_xlpm.row))))</f>
        <v>2</v>
      </c>
      <c r="N17" s="38" t="str" cm="1">
        <f t="array" ref="N17">IF(SUM(N(data_mission=A17)*_xlfn.BYROW(_xlfn.HSTACK(N(data_role_a="attacker")*N(player_type_a="Mechanised Infantry"),N(data_role_b="attacker")*N(player_type_b="Mechanised Infantry")),_xlfn.LAMBDA(_xlpm.row,SUM(_xlpm.row))))=0,"-",(SUM(N(data_mission=A17)*N(data_role_a="attacker")*N(player_type_a="Mechanised Infantry")*N(data_winner="a"))+SUM(N(data_mission=A17)*N(data_role_b="attacker")*N(player_type_b="Mechanised Infantry")*N(data_winner="b")))/SUM(N(data_mission=A17)*_xlfn.BYROW(_xlfn.HSTACK(N(data_role_a="attacker")*N(player_type_a="Mechanised Infantry"),N(data_role_b="attacker")*N(player_type_b="Mechanised Infantry")),_xlfn.LAMBDA(_xlpm.row,SUM(_xlpm.row)))))</f>
        <v>-</v>
      </c>
      <c r="O17" s="56" cm="1">
        <f t="array" ref="O17">SUM(N(data_mission=A17)*_xlfn.BYROW(_xlfn.HSTACK(N(data_role_a="attacker")*N(player_type_a="Mechanised Infantry"),N(data_role_b="attacker")*N(player_type_b="Mechanised Infantry")),_xlfn.LAMBDA(_xlpm.row,SUM(_xlpm.row))))</f>
        <v>0</v>
      </c>
      <c r="P17" s="38" cm="1">
        <f t="array" ref="P17">IF(SUM(N(data_mission=A17)*_xlfn.BYROW(_xlfn.HSTACK(N(data_role_a="attacker")*N(NOT(ISERROR(SEARCH("Combined",player_type_a)))),N(data_role_b="attacker")*N(NOT(ISERROR(SEARCH("Combined",player_type_b))))),_xlfn.LAMBDA(_xlpm.row,SUM(_xlpm.row))))=0,"-",(SUM(N(data_mission=A17)*N(data_role_a="attacker")*N(NOT(ISERROR(SEARCH("Combined",player_type_a))))*N(data_winner="a"))+SUM(N(data_mission=A17)*N(data_role_b="attacker")*N(NOT(ISERROR(SEARCH("Combined",player_type_b))))*N(data_winner="b")))/SUM(N(data_mission=A17)*_xlfn.BYROW(_xlfn.HSTACK(N(data_role_a="attacker")*N(NOT(ISERROR(SEARCH("Combined",player_type_a)))),N(data_role_b="attacker")*N(NOT(ISERROR(SEARCH("Combined",player_type_b))))),_xlfn.LAMBDA(_xlpm.row,SUM(_xlpm.row)))))</f>
        <v>1</v>
      </c>
      <c r="Q17" s="56" cm="1">
        <f t="array" ref="Q17">SUM(N(data_mission=A17)*_xlfn.BYROW(_xlfn.HSTACK(N(data_role_a="attacker")*N(NOT(ISERROR(SEARCH("Combined",player_type_a)))),N(data_role_b="attacker")*N(NOT(ISERROR(SEARCH("Combined",player_type_b))))),_xlfn.LAMBDA(_xlpm.row,SUM(_xlpm.row))))</f>
        <v>1</v>
      </c>
      <c r="R17" s="38" cm="1">
        <f t="array" ref="R17">SUM(N(data_mission=A17)*(_xlfn.BYROW(_xlfn.HSTACK(N(data_winner="b")*N(data_role_a="attacker"),N(data_winner="a")*N(data_role_b="attacker")),_xlfn.LAMBDA(_xlpm.row,SUM(_xlpm.row)))))/SUM(N(data_mission=A17))</f>
        <v>0</v>
      </c>
      <c r="S17" s="60" cm="1">
        <f t="array" ref="S17">SUM(N(data_mission=A17)*_xlfn.HSTACK((N(data_role_a="attacker")*data_score_b),(N(data_role_b="attacker")*data_score_a)))/SUM(N(data_mission=A17))</f>
        <v>1.3333333333333333</v>
      </c>
      <c r="T17" s="60" cm="1">
        <f t="array" ref="T17">SUM(N(data_mission=A17)*_xlfn.HSTACK((N(data_role_a="attacker")*data_units_b),(N(data_role_b="attacker")*data_units_a)))/SUM(N(data_mission=A17))</f>
        <v>1.3333333333333333</v>
      </c>
      <c r="U17" s="58">
        <f t="shared" si="1"/>
        <v>0.75</v>
      </c>
      <c r="V17" s="38" cm="1">
        <f t="array" ref="V17">IF(SUM(N(data_mission=A17)*_xlfn.BYROW(_xlfn.HSTACK(N(data_role_a="defender")*N(player_type_a="Infantry"),N(data_role_b="defender")*N(player_type_b="Infantry")),_xlfn.LAMBDA(_xlpm.row,SUM(_xlpm.row))))=0,"-",(SUM(N(data_mission=A17)*N(data_role_a="defender")*N(player_type_a="Infantry")*N(data_winner="a"))+SUM(N(data_mission=A17)*N(data_role_b="defender")*N(player_type_b="Infantry")*N(data_winner="b")))/SUM(N(data_mission=A17)*_xlfn.BYROW(_xlfn.HSTACK(N(data_role_a="defender")*N(player_type_a="Infantry"),N(data_role_b="defender")*N(player_type_b="Infantry")),_xlfn.LAMBDA(_xlpm.row,SUM(_xlpm.row)))))</f>
        <v>0</v>
      </c>
      <c r="W17" s="51" cm="1">
        <f t="array" ref="W17">SUM(N(data_mission=A17)*_xlfn.BYROW(_xlfn.HSTACK(N(data_role_a="defender")*N(player_type_a="Infantry"),N(data_role_b="defender")*N(player_type_b="Infantry")),_xlfn.LAMBDA(_xlpm.row,SUM(_xlpm.row))))</f>
        <v>3</v>
      </c>
      <c r="X17" s="38" t="str" cm="1">
        <f t="array" ref="X17">IF(SUM(N(data_mission=A17)*_xlfn.BYROW(_xlfn.HSTACK(N(data_role_a="defender")*N(player_type_a="Tank"),N(data_role_b="defender")*N(player_type_b="Tank")),_xlfn.LAMBDA(_xlpm.row,SUM(_xlpm.row))))=0,"-",(SUM(N(data_mission=A17)*N(data_role_a="defender")*N(player_type_a="Tank")*N(data_winner="a"))+SUM(N(data_mission=A17)*N(data_role_b="defender")*N(player_type_b="Tank")*N(data_winner="b")))/SUM(N(data_mission=A17)*_xlfn.BYROW(_xlfn.HSTACK(N(data_role_a="defender")*N(player_type_a="Tank"),N(data_role_b="defender")*N(player_type_b="Tank")),_xlfn.LAMBDA(_xlpm.row,SUM(_xlpm.row)))))</f>
        <v>-</v>
      </c>
      <c r="Y17" s="52" cm="1">
        <f t="array" ref="Y17">SUM(N(data_mission=A17)*_xlfn.BYROW(_xlfn.HSTACK(N(data_role_a="defender")*N(player_type_a="Tank"),N(data_role_b="defender")*N(player_type_b="Tank")),_xlfn.LAMBDA(_xlpm.row,SUM(_xlpm.row))))</f>
        <v>0</v>
      </c>
      <c r="Z17" s="38" t="str" cm="1">
        <f t="array" ref="Z17">IF(SUM(N(data_mission=A17)*_xlfn.BYROW(_xlfn.HSTACK(N(data_role_a="defender")*N(player_type_a="Mechanised Infantry"),N(data_role_b="defender")*N(player_type_b="Mechanised Infantry")),_xlfn.LAMBDA(_xlpm.row,SUM(_xlpm.row))))=0,"-",(SUM(N(data_mission=A17)*N(data_role_a="defender")*N(player_type_a="Mechanised Infantry")*N(data_winner="a"))+SUM(N(data_mission=A17)*N(data_role_b="defender")*N(player_type_b="Mechanised Infantry")*N(data_winner="b")))/SUM(N(data_mission=A17)*_xlfn.BYROW(_xlfn.HSTACK(N(data_role_a="defender")*N(player_type_a="Mechanised Infantry"),N(data_role_b="defender")*N(player_type_b="Mechanised Infantry")),_xlfn.LAMBDA(_xlpm.row,SUM(_xlpm.row)))))</f>
        <v>-</v>
      </c>
      <c r="AA17" s="52" cm="1">
        <f t="array" ref="AA17">SUM(N(data_mission=A17)*_xlfn.BYROW(_xlfn.HSTACK(N(data_role_a="defender")*N(player_type_a="Mechanised Infantry"),N(data_role_b="defender")*N(player_type_b="Mechanised Infantry")),_xlfn.LAMBDA(_xlpm.row,SUM(_xlpm.row))))</f>
        <v>0</v>
      </c>
      <c r="AB17" s="38" t="str" cm="1">
        <f t="array" ref="AB17">IF(SUM(N(data_mission=A17)*_xlfn.BYROW(_xlfn.HSTACK(N(data_role_a="defender")*N(NOT(ISERROR(SEARCH("Combined",player_type_a)))),N(data_role_b="defender")*N(NOT(ISERROR(SEARCH("Combined",player_type_b))))),_xlfn.LAMBDA(_xlpm.row,SUM(_xlpm.row))))=0,"-",(SUM(N(data_mission=A17)*N(data_role_a="defender")*N(NOT(ISERROR(SEARCH("Combined",player_type_a))))*N(data_winner="a"))+SUM(N(data_mission=A17)*N(data_role_b="defender")*N(NOT(ISERROR(SEARCH("Combined",player_type_b))))*N(data_winner="b")))/SUM(N(data_mission=A17)*_xlfn.BYROW(_xlfn.HSTACK(N(data_role_a="defender")*N(NOT(ISERROR(SEARCH("Combined",player_type_a)))),N(data_role_b="defender")*N(NOT(ISERROR(SEARCH("Combined",player_type_b))))),_xlfn.LAMBDA(_xlpm.row,SUM(_xlpm.row)))))</f>
        <v>-</v>
      </c>
      <c r="AC17" s="52" cm="1">
        <f t="array" ref="AC17">SUM(N(data_mission=A17)*_xlfn.BYROW(_xlfn.HSTACK(N(data_role_a="defender")*N(NOT(ISERROR(SEARCH("Combined",player_type_a)))),N(data_role_b="defender")*N(NOT(ISERROR(SEARCH("Combined",player_type_b))))),_xlfn.LAMBDA(_xlpm.row,SUM(_xlpm.row))))</f>
        <v>0</v>
      </c>
    </row>
    <row r="18" spans="1:29" x14ac:dyDescent="0.25">
      <c r="A18" t="s">
        <v>55</v>
      </c>
      <c r="B18" s="1" t="s">
        <v>207</v>
      </c>
      <c r="C18" s="50" cm="1">
        <f t="array" ref="C18">SUM(N(data_mod!C5:C66=A18))</f>
        <v>5</v>
      </c>
      <c r="D18" s="39" cm="1">
        <f t="array" ref="D18">SUM(N(data_mission=A18)*N(data_winner="none"))/SUM(N(data_mission=A18))</f>
        <v>0.4</v>
      </c>
      <c r="E18" s="60" cm="1">
        <f t="array" ref="E18">SUM(N(data_mission=A18)*data_turns)/SUM(N(data_mission=A18))</f>
        <v>6.4</v>
      </c>
      <c r="F18" s="38" cm="1">
        <f t="array" ref="F18">SUM(N(data_mission=A18)*(_xlfn.BYROW(_xlfn.HSTACK(N(data_winner="a")*N(data_role_a="attacker"),N(data_winner="b")*N(data_role_b="attacker")),_xlfn.LAMBDA(_xlpm.row,SUM(_xlpm.row)))))/SUM(N(data_mission=A18))</f>
        <v>0.6</v>
      </c>
      <c r="G18" s="60" cm="1">
        <f t="array" ref="G18">SUM(N(data_mission=A18)*_xlfn.HSTACK((N(data_role_a="attacker")*data_score_a),(N(data_role_b="attacker")*data_score_b)))/SUM(N(data_mission=A18))</f>
        <v>5.8</v>
      </c>
      <c r="H18" s="60" cm="1">
        <f t="array" ref="H18">SUM(N(data_mission=A18)*_xlfn.HSTACK((N(data_role_a="attacker")*data_units_a),(N(data_role_b="attacker")*data_units_b)))/SUM(N(data_mission=A18))</f>
        <v>1.8</v>
      </c>
      <c r="I18" s="58">
        <f t="shared" si="0"/>
        <v>1.4444444444444444</v>
      </c>
      <c r="J18" s="38" cm="1">
        <f t="array" ref="J18">IF(SUM(N(data_mission=A18)*_xlfn.BYROW(_xlfn.HSTACK(N(data_role_a="attacker")*N(player_type_a="Infantry"),N(data_role_b="attacker")*N(player_type_b="Infantry")),_xlfn.LAMBDA(_xlpm.row,SUM(_xlpm.row))))=0,"-",(SUM(N(data_mission=A18)*N(data_role_a="attacker")*N(player_type_a="Infantry")*N(data_winner="a"))+SUM(N(data_mission=A18)*N(data_role_b="attacker")*N(player_type_b="Infantry")*N(data_winner="b")))/SUM(N(data_mission=A18)*_xlfn.BYROW(_xlfn.HSTACK(N(data_role_a="attacker")*N(player_type_a="Infantry"),N(data_role_b="attacker")*N(player_type_b="Infantry")),_xlfn.LAMBDA(_xlpm.row,SUM(_xlpm.row)))))</f>
        <v>0</v>
      </c>
      <c r="K18" s="56" cm="1">
        <f t="array" ref="K18">SUM(N(data_mission=A18)*_xlfn.BYROW(_xlfn.HSTACK(N(data_role_a="attacker")*N(player_type_a="Infantry"),N(data_role_b="attacker")*N(player_type_b="Infantry")),_xlfn.LAMBDA(_xlpm.row,SUM(_xlpm.row))))</f>
        <v>2</v>
      </c>
      <c r="L18" s="38" cm="1">
        <f t="array" ref="L18">IF(SUM(N(data_mission=A18)*_xlfn.BYROW(_xlfn.HSTACK(N(data_role_a="attacker")*N(player_type_a="Tank"),N(data_role_b="attacker")*N(player_type_b="Tank")),_xlfn.LAMBDA(_xlpm.row,SUM(_xlpm.row))))=0,"-",(SUM(N(data_mission=A18)*N(data_role_a="attacker")*N(player_type_a="Tank")*N(data_winner="a"))+SUM(N(data_mission=A18)*N(data_role_b="attacker")*N(player_type_b="Tank")*N(data_winner="b")))/SUM(N(data_mission=A18)*_xlfn.BYROW(_xlfn.HSTACK(N(data_role_a="attacker")*N(player_type_a="Tank"),N(data_role_b="attacker")*N(player_type_b="Tank")),_xlfn.LAMBDA(_xlpm.row,SUM(_xlpm.row)))))</f>
        <v>1</v>
      </c>
      <c r="M18" s="56" cm="1">
        <f t="array" ref="M18">SUM(N(data_mission=A18)*_xlfn.BYROW(_xlfn.HSTACK(N(data_role_a="attacker")*N(player_type_a="Tank"),N(data_role_b="attacker")*N(player_type_b="Tank")),_xlfn.LAMBDA(_xlpm.row,SUM(_xlpm.row))))</f>
        <v>2</v>
      </c>
      <c r="N18" s="38" cm="1">
        <f t="array" ref="N18">IF(SUM(N(data_mission=A18)*_xlfn.BYROW(_xlfn.HSTACK(N(data_role_a="attacker")*N(player_type_a="Mechanised Infantry"),N(data_role_b="attacker")*N(player_type_b="Mechanised Infantry")),_xlfn.LAMBDA(_xlpm.row,SUM(_xlpm.row))))=0,"-",(SUM(N(data_mission=A18)*N(data_role_a="attacker")*N(player_type_a="Mechanised Infantry")*N(data_winner="a"))+SUM(N(data_mission=A18)*N(data_role_b="attacker")*N(player_type_b="Mechanised Infantry")*N(data_winner="b")))/SUM(N(data_mission=A18)*_xlfn.BYROW(_xlfn.HSTACK(N(data_role_a="attacker")*N(player_type_a="Mechanised Infantry"),N(data_role_b="attacker")*N(player_type_b="Mechanised Infantry")),_xlfn.LAMBDA(_xlpm.row,SUM(_xlpm.row)))))</f>
        <v>1</v>
      </c>
      <c r="O18" s="56" cm="1">
        <f t="array" ref="O18">SUM(N(data_mission=A18)*_xlfn.BYROW(_xlfn.HSTACK(N(data_role_a="attacker")*N(player_type_a="Mechanised Infantry"),N(data_role_b="attacker")*N(player_type_b="Mechanised Infantry")),_xlfn.LAMBDA(_xlpm.row,SUM(_xlpm.row))))</f>
        <v>1</v>
      </c>
      <c r="P18" s="38" t="str" cm="1">
        <f t="array" ref="P18">IF(SUM(N(data_mission=A18)*_xlfn.BYROW(_xlfn.HSTACK(N(data_role_a="attacker")*N(NOT(ISERROR(SEARCH("Combined",player_type_a)))),N(data_role_b="attacker")*N(NOT(ISERROR(SEARCH("Combined",player_type_b))))),_xlfn.LAMBDA(_xlpm.row,SUM(_xlpm.row))))=0,"-",(SUM(N(data_mission=A18)*N(data_role_a="attacker")*N(NOT(ISERROR(SEARCH("Combined",player_type_a))))*N(data_winner="a"))+SUM(N(data_mission=A18)*N(data_role_b="attacker")*N(NOT(ISERROR(SEARCH("Combined",player_type_b))))*N(data_winner="b")))/SUM(N(data_mission=A18)*_xlfn.BYROW(_xlfn.HSTACK(N(data_role_a="attacker")*N(NOT(ISERROR(SEARCH("Combined",player_type_a)))),N(data_role_b="attacker")*N(NOT(ISERROR(SEARCH("Combined",player_type_b))))),_xlfn.LAMBDA(_xlpm.row,SUM(_xlpm.row)))))</f>
        <v>-</v>
      </c>
      <c r="Q18" s="56" cm="1">
        <f t="array" ref="Q18">SUM(N(data_mission=A18)*_xlfn.BYROW(_xlfn.HSTACK(N(data_role_a="attacker")*N(NOT(ISERROR(SEARCH("Combined",player_type_a)))),N(data_role_b="attacker")*N(NOT(ISERROR(SEARCH("Combined",player_type_b))))),_xlfn.LAMBDA(_xlpm.row,SUM(_xlpm.row))))</f>
        <v>0</v>
      </c>
      <c r="R18" s="38" cm="1">
        <f t="array" ref="R18">SUM(N(data_mission=A18)*(_xlfn.BYROW(_xlfn.HSTACK(N(data_winner="b")*N(data_role_a="attacker"),N(data_winner="a")*N(data_role_b="attacker")),_xlfn.LAMBDA(_xlpm.row,SUM(_xlpm.row)))))/SUM(N(data_mission=A18))</f>
        <v>0</v>
      </c>
      <c r="S18" s="60" cm="1">
        <f t="array" ref="S18">SUM(N(data_mission=A18)*_xlfn.HSTACK((N(data_role_a="attacker")*data_score_b),(N(data_role_b="attacker")*data_score_a)))/SUM(N(data_mission=A18))</f>
        <v>1.8</v>
      </c>
      <c r="T18" s="60" cm="1">
        <f t="array" ref="T18">SUM(N(data_mission=A18)*_xlfn.HSTACK((N(data_role_a="attacker")*data_units_b),(N(data_role_b="attacker")*data_units_a)))/SUM(N(data_mission=A18))</f>
        <v>2.6</v>
      </c>
      <c r="U18" s="58">
        <f t="shared" si="1"/>
        <v>0.69230769230769229</v>
      </c>
      <c r="V18" s="38" cm="1">
        <f t="array" ref="V18">IF(SUM(N(data_mission=A18)*_xlfn.BYROW(_xlfn.HSTACK(N(data_role_a="defender")*N(player_type_a="Infantry"),N(data_role_b="defender")*N(player_type_b="Infantry")),_xlfn.LAMBDA(_xlpm.row,SUM(_xlpm.row))))=0,"-",(SUM(N(data_mission=A18)*N(data_role_a="defender")*N(player_type_a="Infantry")*N(data_winner="a"))+SUM(N(data_mission=A18)*N(data_role_b="defender")*N(player_type_b="Infantry")*N(data_winner="b")))/SUM(N(data_mission=A18)*_xlfn.BYROW(_xlfn.HSTACK(N(data_role_a="defender")*N(player_type_a="Infantry"),N(data_role_b="defender")*N(player_type_b="Infantry")),_xlfn.LAMBDA(_xlpm.row,SUM(_xlpm.row)))))</f>
        <v>0</v>
      </c>
      <c r="W18" s="51" cm="1">
        <f t="array" ref="W18">SUM(N(data_mission=A18)*_xlfn.BYROW(_xlfn.HSTACK(N(data_role_a="defender")*N(player_type_a="Infantry"),N(data_role_b="defender")*N(player_type_b="Infantry")),_xlfn.LAMBDA(_xlpm.row,SUM(_xlpm.row))))</f>
        <v>2</v>
      </c>
      <c r="X18" s="38" cm="1">
        <f t="array" ref="X18">IF(SUM(N(data_mission=A18)*_xlfn.BYROW(_xlfn.HSTACK(N(data_role_a="defender")*N(player_type_a="Tank"),N(data_role_b="defender")*N(player_type_b="Tank")),_xlfn.LAMBDA(_xlpm.row,SUM(_xlpm.row))))=0,"-",(SUM(N(data_mission=A18)*N(data_role_a="defender")*N(player_type_a="Tank")*N(data_winner="a"))+SUM(N(data_mission=A18)*N(data_role_b="defender")*N(player_type_b="Tank")*N(data_winner="b")))/SUM(N(data_mission=A18)*_xlfn.BYROW(_xlfn.HSTACK(N(data_role_a="defender")*N(player_type_a="Tank"),N(data_role_b="defender")*N(player_type_b="Tank")),_xlfn.LAMBDA(_xlpm.row,SUM(_xlpm.row)))))</f>
        <v>0</v>
      </c>
      <c r="Y18" s="52" cm="1">
        <f t="array" ref="Y18">SUM(N(data_mission=A18)*_xlfn.BYROW(_xlfn.HSTACK(N(data_role_a="defender")*N(player_type_a="Tank"),N(data_role_b="defender")*N(player_type_b="Tank")),_xlfn.LAMBDA(_xlpm.row,SUM(_xlpm.row))))</f>
        <v>2</v>
      </c>
      <c r="Z18" s="38" t="str" cm="1">
        <f t="array" ref="Z18">IF(SUM(N(data_mission=A18)*_xlfn.BYROW(_xlfn.HSTACK(N(data_role_a="defender")*N(player_type_a="Mechanised Infantry"),N(data_role_b="defender")*N(player_type_b="Mechanised Infantry")),_xlfn.LAMBDA(_xlpm.row,SUM(_xlpm.row))))=0,"-",(SUM(N(data_mission=A18)*N(data_role_a="defender")*N(player_type_a="Mechanised Infantry")*N(data_winner="a"))+SUM(N(data_mission=A18)*N(data_role_b="defender")*N(player_type_b="Mechanised Infantry")*N(data_winner="b")))/SUM(N(data_mission=A18)*_xlfn.BYROW(_xlfn.HSTACK(N(data_role_a="defender")*N(player_type_a="Mechanised Infantry"),N(data_role_b="defender")*N(player_type_b="Mechanised Infantry")),_xlfn.LAMBDA(_xlpm.row,SUM(_xlpm.row)))))</f>
        <v>-</v>
      </c>
      <c r="AA18" s="52" cm="1">
        <f t="array" ref="AA18">SUM(N(data_mission=A18)*_xlfn.BYROW(_xlfn.HSTACK(N(data_role_a="defender")*N(player_type_a="Mechanised Infantry"),N(data_role_b="defender")*N(player_type_b="Mechanised Infantry")),_xlfn.LAMBDA(_xlpm.row,SUM(_xlpm.row))))</f>
        <v>0</v>
      </c>
      <c r="AB18" s="38" cm="1">
        <f t="array" ref="AB18">IF(SUM(N(data_mission=A18)*_xlfn.BYROW(_xlfn.HSTACK(N(data_role_a="defender")*N(NOT(ISERROR(SEARCH("Combined",player_type_a)))),N(data_role_b="defender")*N(NOT(ISERROR(SEARCH("Combined",player_type_b))))),_xlfn.LAMBDA(_xlpm.row,SUM(_xlpm.row))))=0,"-",(SUM(N(data_mission=A18)*N(data_role_a="defender")*N(NOT(ISERROR(SEARCH("Combined",player_type_a))))*N(data_winner="a"))+SUM(N(data_mission=A18)*N(data_role_b="defender")*N(NOT(ISERROR(SEARCH("Combined",player_type_b))))*N(data_winner="b")))/SUM(N(data_mission=A18)*_xlfn.BYROW(_xlfn.HSTACK(N(data_role_a="defender")*N(NOT(ISERROR(SEARCH("Combined",player_type_a)))),N(data_role_b="defender")*N(NOT(ISERROR(SEARCH("Combined",player_type_b))))),_xlfn.LAMBDA(_xlpm.row,SUM(_xlpm.row)))))</f>
        <v>0</v>
      </c>
      <c r="AC18" s="52" cm="1">
        <f t="array" ref="AC18">SUM(N(data_mission=A18)*_xlfn.BYROW(_xlfn.HSTACK(N(data_role_a="defender")*N(NOT(ISERROR(SEARCH("Combined",player_type_a)))),N(data_role_b="defender")*N(NOT(ISERROR(SEARCH("Combined",player_type_b))))),_xlfn.LAMBDA(_xlpm.row,SUM(_xlpm.row))))</f>
        <v>1</v>
      </c>
    </row>
    <row r="19" spans="1:29" x14ac:dyDescent="0.25">
      <c r="A19" t="s">
        <v>94</v>
      </c>
      <c r="B19" s="1" t="s">
        <v>219</v>
      </c>
      <c r="C19" s="50" cm="1">
        <f t="array" ref="C19">SUM(N(data_mod!C12:C73=A19))</f>
        <v>2</v>
      </c>
      <c r="D19" s="39" cm="1">
        <f t="array" ref="D19">SUM(N(data_mission=A19)*N(data_winner="none"))/SUM(N(data_mission=A19))</f>
        <v>0</v>
      </c>
      <c r="E19" s="60" cm="1">
        <f t="array" ref="E19">SUM(N(data_mission=A19)*data_turns)/SUM(N(data_mission=A19))</f>
        <v>6</v>
      </c>
      <c r="F19" s="38" cm="1">
        <f t="array" ref="F19">SUM(N(data_mission=A19)*(_xlfn.BYROW(_xlfn.HSTACK(N(data_winner="a")*N(data_role_a="attacker"),N(data_winner="b")*N(data_role_b="attacker")),_xlfn.LAMBDA(_xlpm.row,SUM(_xlpm.row)))))/SUM(N(data_mission=A19))</f>
        <v>0.5</v>
      </c>
      <c r="G19" s="60" cm="1">
        <f t="array" ref="G19">SUM(N(data_mission=A19)*_xlfn.HSTACK((N(data_role_a="attacker")*data_score_a),(N(data_role_b="attacker")*data_score_b)))/SUM(N(data_mission=A19))</f>
        <v>3.5</v>
      </c>
      <c r="H19" s="60" cm="1">
        <f t="array" ref="H19">SUM(N(data_mission=A19)*_xlfn.HSTACK((N(data_role_a="attacker")*data_units_a),(N(data_role_b="attacker")*data_units_b)))/SUM(N(data_mission=A19))</f>
        <v>3</v>
      </c>
      <c r="I19" s="58">
        <f t="shared" si="0"/>
        <v>1</v>
      </c>
      <c r="J19" s="38" t="str" cm="1">
        <f t="array" ref="J19">IF(SUM(N(data_mission=A19)*_xlfn.BYROW(_xlfn.HSTACK(N(data_role_a="attacker")*N(player_type_a="Infantry"),N(data_role_b="attacker")*N(player_type_b="Infantry")),_xlfn.LAMBDA(_xlpm.row,SUM(_xlpm.row))))=0,"-",(SUM(N(data_mission=A19)*N(data_role_a="attacker")*N(player_type_a="Infantry")*N(data_winner="a"))+SUM(N(data_mission=A19)*N(data_role_b="attacker")*N(player_type_b="Infantry")*N(data_winner="b")))/SUM(N(data_mission=A19)*_xlfn.BYROW(_xlfn.HSTACK(N(data_role_a="attacker")*N(player_type_a="Infantry"),N(data_role_b="attacker")*N(player_type_b="Infantry")),_xlfn.LAMBDA(_xlpm.row,SUM(_xlpm.row)))))</f>
        <v>-</v>
      </c>
      <c r="K19" s="56" cm="1">
        <f t="array" ref="K19">SUM(N(data_mission=A19)*_xlfn.BYROW(_xlfn.HSTACK(N(data_role_a="attacker")*N(player_type_a="Infantry"),N(data_role_b="attacker")*N(player_type_b="Infantry")),_xlfn.LAMBDA(_xlpm.row,SUM(_xlpm.row))))</f>
        <v>0</v>
      </c>
      <c r="L19" s="38" cm="1">
        <f t="array" ref="L19">IF(SUM(N(data_mission=A19)*_xlfn.BYROW(_xlfn.HSTACK(N(data_role_a="attacker")*N(player_type_a="Tank"),N(data_role_b="attacker")*N(player_type_b="Tank")),_xlfn.LAMBDA(_xlpm.row,SUM(_xlpm.row))))=0,"-",(SUM(N(data_mission=A19)*N(data_role_a="attacker")*N(player_type_a="Tank")*N(data_winner="a"))+SUM(N(data_mission=A19)*N(data_role_b="attacker")*N(player_type_b="Tank")*N(data_winner="b")))/SUM(N(data_mission=A19)*_xlfn.BYROW(_xlfn.HSTACK(N(data_role_a="attacker")*N(player_type_a="Tank"),N(data_role_b="attacker")*N(player_type_b="Tank")),_xlfn.LAMBDA(_xlpm.row,SUM(_xlpm.row)))))</f>
        <v>0</v>
      </c>
      <c r="M19" s="56" cm="1">
        <f t="array" ref="M19">SUM(N(data_mission=A19)*_xlfn.BYROW(_xlfn.HSTACK(N(data_role_a="attacker")*N(player_type_a="Tank"),N(data_role_b="attacker")*N(player_type_b="Tank")),_xlfn.LAMBDA(_xlpm.row,SUM(_xlpm.row))))</f>
        <v>1</v>
      </c>
      <c r="N19" s="38" cm="1">
        <f t="array" ref="N19">IF(SUM(N(data_mission=A19)*_xlfn.BYROW(_xlfn.HSTACK(N(data_role_a="attacker")*N(player_type_a="Mechanised Infantry"),N(data_role_b="attacker")*N(player_type_b="Mechanised Infantry")),_xlfn.LAMBDA(_xlpm.row,SUM(_xlpm.row))))=0,"-",(SUM(N(data_mission=A19)*N(data_role_a="attacker")*N(player_type_a="Mechanised Infantry")*N(data_winner="a"))+SUM(N(data_mission=A19)*N(data_role_b="attacker")*N(player_type_b="Mechanised Infantry")*N(data_winner="b")))/SUM(N(data_mission=A19)*_xlfn.BYROW(_xlfn.HSTACK(N(data_role_a="attacker")*N(player_type_a="Mechanised Infantry"),N(data_role_b="attacker")*N(player_type_b="Mechanised Infantry")),_xlfn.LAMBDA(_xlpm.row,SUM(_xlpm.row)))))</f>
        <v>1</v>
      </c>
      <c r="O19" s="56" cm="1">
        <f t="array" ref="O19">SUM(N(data_mission=A19)*_xlfn.BYROW(_xlfn.HSTACK(N(data_role_a="attacker")*N(player_type_a="Mechanised Infantry"),N(data_role_b="attacker")*N(player_type_b="Mechanised Infantry")),_xlfn.LAMBDA(_xlpm.row,SUM(_xlpm.row))))</f>
        <v>1</v>
      </c>
      <c r="P19" s="38" t="str" cm="1">
        <f t="array" ref="P19">IF(SUM(N(data_mission=A19)*_xlfn.BYROW(_xlfn.HSTACK(N(data_role_a="attacker")*N(NOT(ISERROR(SEARCH("Combined",player_type_a)))),N(data_role_b="attacker")*N(NOT(ISERROR(SEARCH("Combined",player_type_b))))),_xlfn.LAMBDA(_xlpm.row,SUM(_xlpm.row))))=0,"-",(SUM(N(data_mission=A19)*N(data_role_a="attacker")*N(NOT(ISERROR(SEARCH("Combined",player_type_a))))*N(data_winner="a"))+SUM(N(data_mission=A19)*N(data_role_b="attacker")*N(NOT(ISERROR(SEARCH("Combined",player_type_b))))*N(data_winner="b")))/SUM(N(data_mission=A19)*_xlfn.BYROW(_xlfn.HSTACK(N(data_role_a="attacker")*N(NOT(ISERROR(SEARCH("Combined",player_type_a)))),N(data_role_b="attacker")*N(NOT(ISERROR(SEARCH("Combined",player_type_b))))),_xlfn.LAMBDA(_xlpm.row,SUM(_xlpm.row)))))</f>
        <v>-</v>
      </c>
      <c r="Q19" s="56" cm="1">
        <f t="array" ref="Q19">SUM(N(data_mission=A19)*_xlfn.BYROW(_xlfn.HSTACK(N(data_role_a="attacker")*N(NOT(ISERROR(SEARCH("Combined",player_type_a)))),N(data_role_b="attacker")*N(NOT(ISERROR(SEARCH("Combined",player_type_b))))),_xlfn.LAMBDA(_xlpm.row,SUM(_xlpm.row))))</f>
        <v>0</v>
      </c>
      <c r="R19" s="38" cm="1">
        <f t="array" ref="R19">SUM(N(data_mission=A19)*(_xlfn.BYROW(_xlfn.HSTACK(N(data_winner="b")*N(data_role_a="attacker"),N(data_winner="a")*N(data_role_b="attacker")),_xlfn.LAMBDA(_xlpm.row,SUM(_xlpm.row)))))/SUM(N(data_mission=A19))</f>
        <v>0.5</v>
      </c>
      <c r="S19" s="60" cm="1">
        <f t="array" ref="S19">SUM(N(data_mission=A19)*_xlfn.HSTACK((N(data_role_a="attacker")*data_score_b),(N(data_role_b="attacker")*data_score_a)))/SUM(N(data_mission=A19))</f>
        <v>5.5</v>
      </c>
      <c r="T19" s="60" cm="1">
        <f t="array" ref="T19">SUM(N(data_mission=A19)*_xlfn.HSTACK((N(data_role_a="attacker")*data_units_b),(N(data_role_b="attacker")*data_units_a)))/SUM(N(data_mission=A19))</f>
        <v>3</v>
      </c>
      <c r="U19" s="58">
        <f t="shared" si="1"/>
        <v>1</v>
      </c>
      <c r="V19" s="38" t="str" cm="1">
        <f t="array" ref="V19">IF(SUM(N(data_mission=A19)*_xlfn.BYROW(_xlfn.HSTACK(N(data_role_a="defender")*N(player_type_a="Infantry"),N(data_role_b="defender")*N(player_type_b="Infantry")),_xlfn.LAMBDA(_xlpm.row,SUM(_xlpm.row))))=0,"-",(SUM(N(data_mission=A19)*N(data_role_a="defender")*N(player_type_a="Infantry")*N(data_winner="a"))+SUM(N(data_mission=A19)*N(data_role_b="defender")*N(player_type_b="Infantry")*N(data_winner="b")))/SUM(N(data_mission=A19)*_xlfn.BYROW(_xlfn.HSTACK(N(data_role_a="defender")*N(player_type_a="Infantry"),N(data_role_b="defender")*N(player_type_b="Infantry")),_xlfn.LAMBDA(_xlpm.row,SUM(_xlpm.row)))))</f>
        <v>-</v>
      </c>
      <c r="W19" s="51" cm="1">
        <f t="array" ref="W19">SUM(N(data_mission=A19)*_xlfn.BYROW(_xlfn.HSTACK(N(data_role_a="defender")*N(player_type_a="Infantry"),N(data_role_b="defender")*N(player_type_b="Infantry")),_xlfn.LAMBDA(_xlpm.row,SUM(_xlpm.row))))</f>
        <v>0</v>
      </c>
      <c r="X19" s="38" cm="1">
        <f t="array" ref="X19">IF(SUM(N(data_mission=A19)*_xlfn.BYROW(_xlfn.HSTACK(N(data_role_a="defender")*N(player_type_a="Tank"),N(data_role_b="defender")*N(player_type_b="Tank")),_xlfn.LAMBDA(_xlpm.row,SUM(_xlpm.row))))=0,"-",(SUM(N(data_mission=A19)*N(data_role_a="defender")*N(player_type_a="Tank")*N(data_winner="a"))+SUM(N(data_mission=A19)*N(data_role_b="defender")*N(player_type_b="Tank")*N(data_winner="b")))/SUM(N(data_mission=A19)*_xlfn.BYROW(_xlfn.HSTACK(N(data_role_a="defender")*N(player_type_a="Tank"),N(data_role_b="defender")*N(player_type_b="Tank")),_xlfn.LAMBDA(_xlpm.row,SUM(_xlpm.row)))))</f>
        <v>0.5</v>
      </c>
      <c r="Y19" s="52" cm="1">
        <f t="array" ref="Y19">SUM(N(data_mission=A19)*_xlfn.BYROW(_xlfn.HSTACK(N(data_role_a="defender")*N(player_type_a="Tank"),N(data_role_b="defender")*N(player_type_b="Tank")),_xlfn.LAMBDA(_xlpm.row,SUM(_xlpm.row))))</f>
        <v>2</v>
      </c>
      <c r="Z19" s="38" t="str" cm="1">
        <f t="array" ref="Z19">IF(SUM(N(data_mission=A19)*_xlfn.BYROW(_xlfn.HSTACK(N(data_role_a="defender")*N(player_type_a="Mechanised Infantry"),N(data_role_b="defender")*N(player_type_b="Mechanised Infantry")),_xlfn.LAMBDA(_xlpm.row,SUM(_xlpm.row))))=0,"-",(SUM(N(data_mission=A19)*N(data_role_a="defender")*N(player_type_a="Mechanised Infantry")*N(data_winner="a"))+SUM(N(data_mission=A19)*N(data_role_b="defender")*N(player_type_b="Mechanised Infantry")*N(data_winner="b")))/SUM(N(data_mission=A19)*_xlfn.BYROW(_xlfn.HSTACK(N(data_role_a="defender")*N(player_type_a="Mechanised Infantry"),N(data_role_b="defender")*N(player_type_b="Mechanised Infantry")),_xlfn.LAMBDA(_xlpm.row,SUM(_xlpm.row)))))</f>
        <v>-</v>
      </c>
      <c r="AA19" s="52" cm="1">
        <f t="array" ref="AA19">SUM(N(data_mission=A19)*_xlfn.BYROW(_xlfn.HSTACK(N(data_role_a="defender")*N(player_type_a="Mechanised Infantry"),N(data_role_b="defender")*N(player_type_b="Mechanised Infantry")),_xlfn.LAMBDA(_xlpm.row,SUM(_xlpm.row))))</f>
        <v>0</v>
      </c>
      <c r="AB19" s="38" t="str" cm="1">
        <f t="array" ref="AB19">IF(SUM(N(data_mission=A19)*_xlfn.BYROW(_xlfn.HSTACK(N(data_role_a="defender")*N(NOT(ISERROR(SEARCH("Combined",player_type_a)))),N(data_role_b="defender")*N(NOT(ISERROR(SEARCH("Combined",player_type_b))))),_xlfn.LAMBDA(_xlpm.row,SUM(_xlpm.row))))=0,"-",(SUM(N(data_mission=A19)*N(data_role_a="defender")*N(NOT(ISERROR(SEARCH("Combined",player_type_a))))*N(data_winner="a"))+SUM(N(data_mission=A19)*N(data_role_b="defender")*N(NOT(ISERROR(SEARCH("Combined",player_type_b))))*N(data_winner="b")))/SUM(N(data_mission=A19)*_xlfn.BYROW(_xlfn.HSTACK(N(data_role_a="defender")*N(NOT(ISERROR(SEARCH("Combined",player_type_a)))),N(data_role_b="defender")*N(NOT(ISERROR(SEARCH("Combined",player_type_b))))),_xlfn.LAMBDA(_xlpm.row,SUM(_xlpm.row)))))</f>
        <v>-</v>
      </c>
      <c r="AC19" s="52" cm="1">
        <f t="array" ref="AC19">SUM(N(data_mission=A19)*_xlfn.BYROW(_xlfn.HSTACK(N(data_role_a="defender")*N(NOT(ISERROR(SEARCH("Combined",player_type_a)))),N(data_role_b="defender")*N(NOT(ISERROR(SEARCH("Combined",player_type_b))))),_xlfn.LAMBDA(_xlpm.row,SUM(_xlpm.row))))</f>
        <v>0</v>
      </c>
    </row>
    <row r="20" spans="1:29" x14ac:dyDescent="0.25">
      <c r="A20" t="s">
        <v>93</v>
      </c>
      <c r="B20" s="3" t="s">
        <v>218</v>
      </c>
      <c r="C20" s="53" cm="1">
        <f t="array" ref="C20">SUM(N(data_mod!C11:C72=A20))</f>
        <v>3</v>
      </c>
      <c r="D20" s="42" cm="1">
        <f t="array" ref="D20">SUM(N(data_mission=A20)*N(data_winner="none"))/SUM(N(data_mission=A20))</f>
        <v>0</v>
      </c>
      <c r="E20" s="61" cm="1">
        <f t="array" ref="E20">SUM(N(data_mission=A20)*data_turns)/SUM(N(data_mission=A20))</f>
        <v>7</v>
      </c>
      <c r="F20" s="41" cm="1">
        <f t="array" ref="F20">SUM(N(data_mission=A20)*(_xlfn.BYROW(_xlfn.HSTACK(N(data_winner="a")*N(data_role_a="attacker"),N(data_winner="b")*N(data_role_b="attacker")),_xlfn.LAMBDA(_xlpm.row,SUM(_xlpm.row)))))/SUM(N(data_mission=A20))</f>
        <v>0</v>
      </c>
      <c r="G20" s="61" cm="1">
        <f t="array" ref="G20">SUM(N(data_mission=A20)*_xlfn.HSTACK((N(data_role_a="attacker")*data_score_a),(N(data_role_b="attacker")*data_score_b)))/SUM(N(data_mission=A20))</f>
        <v>2</v>
      </c>
      <c r="H20" s="61" cm="1">
        <f t="array" ref="H20">SUM(N(data_mission=A20)*_xlfn.HSTACK((N(data_role_a="attacker")*data_units_a),(N(data_role_b="attacker")*data_units_b)))/SUM(N(data_mission=A20))</f>
        <v>2.3333333333333335</v>
      </c>
      <c r="I20" s="59">
        <f t="shared" si="0"/>
        <v>0.7142857142857143</v>
      </c>
      <c r="J20" s="41" t="str" cm="1">
        <f t="array" ref="J20">IF(SUM(N(data_mission=A20)*_xlfn.BYROW(_xlfn.HSTACK(N(data_role_a="attacker")*N(player_type_a="Infantry"),N(data_role_b="attacker")*N(player_type_b="Infantry")),_xlfn.LAMBDA(_xlpm.row,SUM(_xlpm.row))))=0,"-",(SUM(N(data_mission=A20)*N(data_role_a="attacker")*N(player_type_a="Infantry")*N(data_winner="a"))+SUM(N(data_mission=A20)*N(data_role_b="attacker")*N(player_type_b="Infantry")*N(data_winner="b")))/SUM(N(data_mission=A20)*_xlfn.BYROW(_xlfn.HSTACK(N(data_role_a="attacker")*N(player_type_a="Infantry"),N(data_role_b="attacker")*N(player_type_b="Infantry")),_xlfn.LAMBDA(_xlpm.row,SUM(_xlpm.row)))))</f>
        <v>-</v>
      </c>
      <c r="K20" s="57" cm="1">
        <f t="array" ref="K20">SUM(N(data_mission=A20)*_xlfn.BYROW(_xlfn.HSTACK(N(data_role_a="attacker")*N(player_type_a="Infantry"),N(data_role_b="attacker")*N(player_type_b="Infantry")),_xlfn.LAMBDA(_xlpm.row,SUM(_xlpm.row))))</f>
        <v>0</v>
      </c>
      <c r="L20" s="41" cm="1">
        <f t="array" ref="L20">IF(SUM(N(data_mission=A20)*_xlfn.BYROW(_xlfn.HSTACK(N(data_role_a="attacker")*N(player_type_a="Tank"),N(data_role_b="attacker")*N(player_type_b="Tank")),_xlfn.LAMBDA(_xlpm.row,SUM(_xlpm.row))))=0,"-",(SUM(N(data_mission=A20)*N(data_role_a="attacker")*N(player_type_a="Tank")*N(data_winner="a"))+SUM(N(data_mission=A20)*N(data_role_b="attacker")*N(player_type_b="Tank")*N(data_winner="b")))/SUM(N(data_mission=A20)*_xlfn.BYROW(_xlfn.HSTACK(N(data_role_a="attacker")*N(player_type_a="Tank"),N(data_role_b="attacker")*N(player_type_b="Tank")),_xlfn.LAMBDA(_xlpm.row,SUM(_xlpm.row)))))</f>
        <v>0</v>
      </c>
      <c r="M20" s="57" cm="1">
        <f t="array" ref="M20">SUM(N(data_mission=A20)*_xlfn.BYROW(_xlfn.HSTACK(N(data_role_a="attacker")*N(player_type_a="Tank"),N(data_role_b="attacker")*N(player_type_b="Tank")),_xlfn.LAMBDA(_xlpm.row,SUM(_xlpm.row))))</f>
        <v>2</v>
      </c>
      <c r="N20" s="41" t="str" cm="1">
        <f t="array" ref="N20">IF(SUM(N(data_mission=A20)*_xlfn.BYROW(_xlfn.HSTACK(N(data_role_a="attacker")*N(player_type_a="Mechanised Infantry"),N(data_role_b="attacker")*N(player_type_b="Mechanised Infantry")),_xlfn.LAMBDA(_xlpm.row,SUM(_xlpm.row))))=0,"-",(SUM(N(data_mission=A20)*N(data_role_a="attacker")*N(player_type_a="Mechanised Infantry")*N(data_winner="a"))+SUM(N(data_mission=A20)*N(data_role_b="attacker")*N(player_type_b="Mechanised Infantry")*N(data_winner="b")))/SUM(N(data_mission=A20)*_xlfn.BYROW(_xlfn.HSTACK(N(data_role_a="attacker")*N(player_type_a="Mechanised Infantry"),N(data_role_b="attacker")*N(player_type_b="Mechanised Infantry")),_xlfn.LAMBDA(_xlpm.row,SUM(_xlpm.row)))))</f>
        <v>-</v>
      </c>
      <c r="O20" s="57" cm="1">
        <f t="array" ref="O20">SUM(N(data_mission=A20)*_xlfn.BYROW(_xlfn.HSTACK(N(data_role_a="attacker")*N(player_type_a="Mechanised Infantry"),N(data_role_b="attacker")*N(player_type_b="Mechanised Infantry")),_xlfn.LAMBDA(_xlpm.row,SUM(_xlpm.row))))</f>
        <v>0</v>
      </c>
      <c r="P20" s="41" cm="1">
        <f t="array" ref="P20">IF(SUM(N(data_mission=A20)*_xlfn.BYROW(_xlfn.HSTACK(N(data_role_a="attacker")*N(NOT(ISERROR(SEARCH("Combined",player_type_a)))),N(data_role_b="attacker")*N(NOT(ISERROR(SEARCH("Combined",player_type_b))))),_xlfn.LAMBDA(_xlpm.row,SUM(_xlpm.row))))=0,"-",(SUM(N(data_mission=A20)*N(data_role_a="attacker")*N(NOT(ISERROR(SEARCH("Combined",player_type_a))))*N(data_winner="a"))+SUM(N(data_mission=A20)*N(data_role_b="attacker")*N(NOT(ISERROR(SEARCH("Combined",player_type_b))))*N(data_winner="b")))/SUM(N(data_mission=A20)*_xlfn.BYROW(_xlfn.HSTACK(N(data_role_a="attacker")*N(NOT(ISERROR(SEARCH("Combined",player_type_a)))),N(data_role_b="attacker")*N(NOT(ISERROR(SEARCH("Combined",player_type_b))))),_xlfn.LAMBDA(_xlpm.row,SUM(_xlpm.row)))))</f>
        <v>0</v>
      </c>
      <c r="Q20" s="57" cm="1">
        <f t="array" ref="Q20">SUM(N(data_mission=A20)*_xlfn.BYROW(_xlfn.HSTACK(N(data_role_a="attacker")*N(NOT(ISERROR(SEARCH("Combined",player_type_a)))),N(data_role_b="attacker")*N(NOT(ISERROR(SEARCH("Combined",player_type_b))))),_xlfn.LAMBDA(_xlpm.row,SUM(_xlpm.row))))</f>
        <v>1</v>
      </c>
      <c r="R20" s="41" cm="1">
        <f t="array" ref="R20">SUM(N(data_mission=A20)*(_xlfn.BYROW(_xlfn.HSTACK(N(data_winner="b")*N(data_role_a="attacker"),N(data_winner="a")*N(data_role_b="attacker")),_xlfn.LAMBDA(_xlpm.row,SUM(_xlpm.row)))))/SUM(N(data_mission=A20))</f>
        <v>1</v>
      </c>
      <c r="S20" s="61" cm="1">
        <f t="array" ref="S20">SUM(N(data_mission=A20)*_xlfn.HSTACK((N(data_role_a="attacker")*data_score_b),(N(data_role_b="attacker")*data_score_a)))/SUM(N(data_mission=A20))</f>
        <v>7</v>
      </c>
      <c r="T20" s="61" cm="1">
        <f t="array" ref="T20">SUM(N(data_mission=A20)*_xlfn.HSTACK((N(data_role_a="attacker")*data_units_b),(N(data_role_b="attacker")*data_units_a)))/SUM(N(data_mission=A20))</f>
        <v>1.6666666666666667</v>
      </c>
      <c r="U20" s="59">
        <f t="shared" si="1"/>
        <v>1.4000000000000001</v>
      </c>
      <c r="V20" s="41" cm="1">
        <f t="array" ref="V20">IF(SUM(N(data_mission=A20)*_xlfn.BYROW(_xlfn.HSTACK(N(data_role_a="defender")*N(player_type_a="Infantry"),N(data_role_b="defender")*N(player_type_b="Infantry")),_xlfn.LAMBDA(_xlpm.row,SUM(_xlpm.row))))=0,"-",(SUM(N(data_mission=A20)*N(data_role_a="defender")*N(player_type_a="Infantry")*N(data_winner="a"))+SUM(N(data_mission=A20)*N(data_role_b="defender")*N(player_type_b="Infantry")*N(data_winner="b")))/SUM(N(data_mission=A20)*_xlfn.BYROW(_xlfn.HSTACK(N(data_role_a="defender")*N(player_type_a="Infantry"),N(data_role_b="defender")*N(player_type_b="Infantry")),_xlfn.LAMBDA(_xlpm.row,SUM(_xlpm.row)))))</f>
        <v>1</v>
      </c>
      <c r="W20" s="54" cm="1">
        <f t="array" ref="W20">SUM(N(data_mission=A20)*_xlfn.BYROW(_xlfn.HSTACK(N(data_role_a="defender")*N(player_type_a="Infantry"),N(data_role_b="defender")*N(player_type_b="Infantry")),_xlfn.LAMBDA(_xlpm.row,SUM(_xlpm.row))))</f>
        <v>2</v>
      </c>
      <c r="X20" s="41" t="str" cm="1">
        <f t="array" ref="X20">IF(SUM(N(data_mission=A20)*_xlfn.BYROW(_xlfn.HSTACK(N(data_role_a="defender")*N(player_type_a="Tank"),N(data_role_b="defender")*N(player_type_b="Tank")),_xlfn.LAMBDA(_xlpm.row,SUM(_xlpm.row))))=0,"-",(SUM(N(data_mission=A20)*N(data_role_a="defender")*N(player_type_a="Tank")*N(data_winner="a"))+SUM(N(data_mission=A20)*N(data_role_b="defender")*N(player_type_b="Tank")*N(data_winner="b")))/SUM(N(data_mission=A20)*_xlfn.BYROW(_xlfn.HSTACK(N(data_role_a="defender")*N(player_type_a="Tank"),N(data_role_b="defender")*N(player_type_b="Tank")),_xlfn.LAMBDA(_xlpm.row,SUM(_xlpm.row)))))</f>
        <v>-</v>
      </c>
      <c r="Y20" s="55" cm="1">
        <f t="array" ref="Y20">SUM(N(data_mission=A20)*_xlfn.BYROW(_xlfn.HSTACK(N(data_role_a="defender")*N(player_type_a="Tank"),N(data_role_b="defender")*N(player_type_b="Tank")),_xlfn.LAMBDA(_xlpm.row,SUM(_xlpm.row))))</f>
        <v>0</v>
      </c>
      <c r="Z20" s="41" t="str" cm="1">
        <f t="array" ref="Z20">IF(SUM(N(data_mission=A20)*_xlfn.BYROW(_xlfn.HSTACK(N(data_role_a="defender")*N(player_type_a="Mechanised Infantry"),N(data_role_b="defender")*N(player_type_b="Mechanised Infantry")),_xlfn.LAMBDA(_xlpm.row,SUM(_xlpm.row))))=0,"-",(SUM(N(data_mission=A20)*N(data_role_a="defender")*N(player_type_a="Mechanised Infantry")*N(data_winner="a"))+SUM(N(data_mission=A20)*N(data_role_b="defender")*N(player_type_b="Mechanised Infantry")*N(data_winner="b")))/SUM(N(data_mission=A20)*_xlfn.BYROW(_xlfn.HSTACK(N(data_role_a="defender")*N(player_type_a="Mechanised Infantry"),N(data_role_b="defender")*N(player_type_b="Mechanised Infantry")),_xlfn.LAMBDA(_xlpm.row,SUM(_xlpm.row)))))</f>
        <v>-</v>
      </c>
      <c r="AA20" s="55" cm="1">
        <f t="array" ref="AA20">SUM(N(data_mission=A20)*_xlfn.BYROW(_xlfn.HSTACK(N(data_role_a="defender")*N(player_type_a="Mechanised Infantry"),N(data_role_b="defender")*N(player_type_b="Mechanised Infantry")),_xlfn.LAMBDA(_xlpm.row,SUM(_xlpm.row))))</f>
        <v>0</v>
      </c>
      <c r="AB20" s="41" cm="1">
        <f t="array" ref="AB20">IF(SUM(N(data_mission=A20)*_xlfn.BYROW(_xlfn.HSTACK(N(data_role_a="defender")*N(NOT(ISERROR(SEARCH("Combined",player_type_a)))),N(data_role_b="defender")*N(NOT(ISERROR(SEARCH("Combined",player_type_b))))),_xlfn.LAMBDA(_xlpm.row,SUM(_xlpm.row))))=0,"-",(SUM(N(data_mission=A20)*N(data_role_a="defender")*N(NOT(ISERROR(SEARCH("Combined",player_type_a))))*N(data_winner="a"))+SUM(N(data_mission=A20)*N(data_role_b="defender")*N(NOT(ISERROR(SEARCH("Combined",player_type_b))))*N(data_winner="b")))/SUM(N(data_mission=A20)*_xlfn.BYROW(_xlfn.HSTACK(N(data_role_a="defender")*N(NOT(ISERROR(SEARCH("Combined",player_type_a)))),N(data_role_b="defender")*N(NOT(ISERROR(SEARCH("Combined",player_type_b))))),_xlfn.LAMBDA(_xlpm.row,SUM(_xlpm.row)))))</f>
        <v>1</v>
      </c>
      <c r="AC20" s="55" cm="1">
        <f t="array" ref="AC20">SUM(N(data_mission=A20)*_xlfn.BYROW(_xlfn.HSTACK(N(data_role_a="defender")*N(NOT(ISERROR(SEARCH("Combined",player_type_a)))),N(data_role_b="defender")*N(NOT(ISERROR(SEARCH("Combined",player_type_b))))),_xlfn.LAMBDA(_xlpm.row,SUM(_xlpm.row))))</f>
        <v>1</v>
      </c>
    </row>
  </sheetData>
  <sheetProtection sheet="1" objects="1" scenarios="1"/>
  <autoFilter ref="A2:AC2" xr:uid="{71898F2D-77CC-4720-915D-B9D5632AAA18}"/>
  <mergeCells count="3">
    <mergeCell ref="B1:E1"/>
    <mergeCell ref="F1:Q1"/>
    <mergeCell ref="R1:AC1"/>
  </mergeCells>
  <conditionalFormatting sqref="B3:AC20">
    <cfRule type="expression" dxfId="115" priority="2">
      <formula>$C3&lt;3</formula>
    </cfRule>
  </conditionalFormatting>
  <conditionalFormatting sqref="C3:C20">
    <cfRule type="cellIs" dxfId="114" priority="1" operator="lessThan">
      <formula>3</formula>
    </cfRule>
    <cfRule type="top10" dxfId="113" priority="47" rank="5"/>
  </conditionalFormatting>
  <conditionalFormatting sqref="D3:D20">
    <cfRule type="top10" dxfId="112" priority="22" bottom="1" rank="5"/>
    <cfRule type="top10" dxfId="111" priority="23" rank="5"/>
  </conditionalFormatting>
  <conditionalFormatting sqref="E3:E20">
    <cfRule type="top10" dxfId="110" priority="46" rank="5"/>
  </conditionalFormatting>
  <conditionalFormatting sqref="F3:F20">
    <cfRule type="top10" dxfId="109" priority="21" bottom="1" rank="5"/>
    <cfRule type="top10" dxfId="108" priority="49" rank="5"/>
  </conditionalFormatting>
  <conditionalFormatting sqref="G3:G20">
    <cfRule type="top10" dxfId="107" priority="20" bottom="1" rank="5"/>
    <cfRule type="top10" dxfId="106" priority="35" rank="5"/>
  </conditionalFormatting>
  <conditionalFormatting sqref="H3:H20">
    <cfRule type="top10" dxfId="105" priority="4" bottom="1" rank="5"/>
    <cfRule type="top10" dxfId="104" priority="5" rank="5"/>
  </conditionalFormatting>
  <conditionalFormatting sqref="I3:I20">
    <cfRule type="top10" dxfId="103" priority="19" bottom="1" rank="5"/>
    <cfRule type="top10" dxfId="102" priority="34" rank="5"/>
  </conditionalFormatting>
  <conditionalFormatting sqref="J3:J20">
    <cfRule type="top10" dxfId="101" priority="18" bottom="1" rank="5"/>
    <cfRule type="top10" dxfId="100" priority="33" rank="1"/>
  </conditionalFormatting>
  <conditionalFormatting sqref="K3:K20">
    <cfRule type="top10" dxfId="99" priority="45" rank="5"/>
  </conditionalFormatting>
  <conditionalFormatting sqref="L3:L20">
    <cfRule type="top10" dxfId="98" priority="17" bottom="1" rank="5"/>
    <cfRule type="top10" dxfId="97" priority="32" rank="4"/>
  </conditionalFormatting>
  <conditionalFormatting sqref="M3:M20">
    <cfRule type="top10" dxfId="96" priority="42" rank="5"/>
    <cfRule type="top10" dxfId="95" priority="44" rank="5"/>
  </conditionalFormatting>
  <conditionalFormatting sqref="N3:N20">
    <cfRule type="top10" dxfId="94" priority="16" bottom="1" rank="2"/>
    <cfRule type="top10" dxfId="93" priority="31" rank="1"/>
  </conditionalFormatting>
  <conditionalFormatting sqref="O3:O20">
    <cfRule type="top10" dxfId="92" priority="41" rank="5"/>
  </conditionalFormatting>
  <conditionalFormatting sqref="P3:P20">
    <cfRule type="top10" dxfId="91" priority="15" bottom="1" rank="2"/>
    <cfRule type="top10" dxfId="90" priority="30" rank="1"/>
  </conditionalFormatting>
  <conditionalFormatting sqref="Q3:Q20">
    <cfRule type="top10" dxfId="89" priority="40" rank="5"/>
  </conditionalFormatting>
  <conditionalFormatting sqref="R3:R20">
    <cfRule type="top10" dxfId="88" priority="13" bottom="1" rank="2"/>
    <cfRule type="top10" dxfId="87" priority="48" rank="5"/>
  </conditionalFormatting>
  <conditionalFormatting sqref="S3:S20">
    <cfRule type="top10" dxfId="86" priority="12" bottom="1" rank="2"/>
    <cfRule type="top10" dxfId="85" priority="29" rank="5"/>
  </conditionalFormatting>
  <conditionalFormatting sqref="T3:T20">
    <cfRule type="top10" dxfId="84" priority="3" bottom="1" rank="5"/>
    <cfRule type="top10" dxfId="83" priority="6" rank="5"/>
  </conditionalFormatting>
  <conditionalFormatting sqref="U3:U20">
    <cfRule type="top10" dxfId="82" priority="10" bottom="1" rank="2"/>
    <cfRule type="top10" dxfId="81" priority="28" rank="5"/>
  </conditionalFormatting>
  <conditionalFormatting sqref="V3:V20">
    <cfRule type="top10" dxfId="80" priority="9" bottom="1" rank="2"/>
    <cfRule type="top10" dxfId="79" priority="27" rank="5"/>
  </conditionalFormatting>
  <conditionalFormatting sqref="W3:W20">
    <cfRule type="top10" dxfId="78" priority="39" rank="5"/>
  </conditionalFormatting>
  <conditionalFormatting sqref="X3:X20">
    <cfRule type="top10" dxfId="77" priority="11" bottom="1" rank="2"/>
    <cfRule type="top10" dxfId="76" priority="26" rank="1"/>
  </conditionalFormatting>
  <conditionalFormatting sqref="Y3:Y20">
    <cfRule type="top10" dxfId="75" priority="38" rank="5"/>
  </conditionalFormatting>
  <conditionalFormatting sqref="Z3:Z20">
    <cfRule type="top10" dxfId="74" priority="8" bottom="1" rank="2"/>
    <cfRule type="top10" dxfId="73" priority="25" rank="1"/>
  </conditionalFormatting>
  <conditionalFormatting sqref="AA3:AA20">
    <cfRule type="top10" dxfId="72" priority="37" rank="5"/>
  </conditionalFormatting>
  <conditionalFormatting sqref="AB3:AB20">
    <cfRule type="top10" dxfId="71" priority="7" bottom="1" rank="2"/>
    <cfRule type="top10" dxfId="70" priority="24" rank="1"/>
  </conditionalFormatting>
  <conditionalFormatting sqref="AC3:AC20">
    <cfRule type="top10" dxfId="69" priority="36" rank="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HeadingPairs>
  <TitlesOfParts>
    <vt:vector size="33" baseType="lpstr">
      <vt:lpstr>data</vt:lpstr>
      <vt:lpstr>data_mod</vt:lpstr>
      <vt:lpstr>Landing</vt:lpstr>
      <vt:lpstr>Player-Force</vt:lpstr>
      <vt:lpstr>Player information</vt:lpstr>
      <vt:lpstr>Formation information</vt:lpstr>
      <vt:lpstr>Faction information</vt:lpstr>
      <vt:lpstr>Stance information</vt:lpstr>
      <vt:lpstr>Mission information</vt:lpstr>
      <vt:lpstr>Force information</vt:lpstr>
      <vt:lpstr>Stance picker</vt:lpstr>
      <vt:lpstr>data</vt:lpstr>
      <vt:lpstr>data_first</vt:lpstr>
      <vt:lpstr>data_mission</vt:lpstr>
      <vt:lpstr>data_name_a</vt:lpstr>
      <vt:lpstr>data_name_b</vt:lpstr>
      <vt:lpstr>data_outcome</vt:lpstr>
      <vt:lpstr>data_role_a</vt:lpstr>
      <vt:lpstr>data_role_b</vt:lpstr>
      <vt:lpstr>data_round</vt:lpstr>
      <vt:lpstr>data_score_a</vt:lpstr>
      <vt:lpstr>data_score_b</vt:lpstr>
      <vt:lpstr>data_stance_a</vt:lpstr>
      <vt:lpstr>data_stance_b</vt:lpstr>
      <vt:lpstr>data_turns</vt:lpstr>
      <vt:lpstr>data_units_a</vt:lpstr>
      <vt:lpstr>data_units_b</vt:lpstr>
      <vt:lpstr>data_winner</vt:lpstr>
      <vt:lpstr>player_force</vt:lpstr>
      <vt:lpstr>player_type_a</vt:lpstr>
      <vt:lpstr>player_type_b</vt:lpstr>
      <vt:lpstr>type_1</vt:lpstr>
      <vt:lpstr>type_2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Melville</dc:creator>
  <cp:lastModifiedBy>Craig Melville</cp:lastModifiedBy>
  <dcterms:created xsi:type="dcterms:W3CDTF">2026-05-20T22:25:21Z</dcterms:created>
  <dcterms:modified xsi:type="dcterms:W3CDTF">2026-06-09T22:23:08Z</dcterms:modified>
</cp:coreProperties>
</file>